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purdue0-my.sharepoint.com/personal/iteh_purdue_edu/Documents/"/>
    </mc:Choice>
  </mc:AlternateContent>
  <xr:revisionPtr revIDLastSave="156" documentId="8_{B24A67AB-1AEB-4657-9F75-A2B6048F1DDE}" xr6:coauthVersionLast="47" xr6:coauthVersionMax="47" xr10:uidLastSave="{E52FDAE2-CF4A-465D-83EA-BBEBBB9F0E52}"/>
  <bookViews>
    <workbookView xWindow="-98" yWindow="-98" windowWidth="21795" windowHeight="13695" tabRatio="792" firstSheet="2" activeTab="3" xr2:uid="{00000000-000D-0000-FFFF-FFFF00000000}"/>
  </bookViews>
  <sheets>
    <sheet name="🧾ReadmeFirst(IMPORTANT)" sheetId="1" state="hidden" r:id="rId1"/>
    <sheet name="📝 Student Checklist-Always Ref" sheetId="2" state="hidden" r:id="rId2"/>
    <sheet name="📊 Dashboard(View Last)" sheetId="3" r:id="rId3"/>
    <sheet name="⚙️ Assumptions" sheetId="4" r:id="rId4"/>
    <sheet name="📈 Historicals" sheetId="5" r:id="rId5"/>
    <sheet name="🔢 DCF Engine" sheetId="6" r:id="rId6"/>
    <sheet name="📉 Sensitivity" sheetId="7" r:id="rId7"/>
    <sheet name="📋 WACC Builder" sheetId="8" r:id="rId8"/>
    <sheet name="🏦 Cap Structure"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9" l="1"/>
  <c r="C20" i="9" s="1"/>
  <c r="C18" i="9"/>
  <c r="C17" i="9"/>
  <c r="C12" i="9"/>
  <c r="D13" i="9" s="1"/>
  <c r="C39" i="8"/>
  <c r="C35" i="8"/>
  <c r="C34" i="8"/>
  <c r="C36" i="8" s="1"/>
  <c r="C30" i="8"/>
  <c r="C29" i="8"/>
  <c r="C28" i="8"/>
  <c r="C23" i="8"/>
  <c r="C21" i="8"/>
  <c r="C22" i="8" s="1"/>
  <c r="C19" i="8"/>
  <c r="C13" i="8"/>
  <c r="C15" i="8" s="1"/>
  <c r="C7" i="8"/>
  <c r="C9" i="8" s="1"/>
  <c r="C72" i="6"/>
  <c r="C68" i="6"/>
  <c r="C67" i="6"/>
  <c r="C66" i="6"/>
  <c r="C65" i="6"/>
  <c r="C64" i="6"/>
  <c r="C63" i="6"/>
  <c r="C62" i="6"/>
  <c r="C61" i="6"/>
  <c r="C60" i="6"/>
  <c r="C49" i="6"/>
  <c r="C47" i="6"/>
  <c r="L38" i="6"/>
  <c r="K38" i="6"/>
  <c r="J38" i="6"/>
  <c r="I38" i="6"/>
  <c r="H38" i="6"/>
  <c r="G38" i="6"/>
  <c r="F38" i="6"/>
  <c r="E38" i="6"/>
  <c r="D38" i="6"/>
  <c r="C38" i="6"/>
  <c r="M15" i="6"/>
  <c r="L15" i="6"/>
  <c r="K15" i="6"/>
  <c r="J15" i="6"/>
  <c r="I15" i="6"/>
  <c r="H15" i="6"/>
  <c r="G15" i="6"/>
  <c r="F15" i="6"/>
  <c r="E15" i="6"/>
  <c r="D15" i="6"/>
  <c r="C15" i="6"/>
  <c r="M13" i="6"/>
  <c r="L13" i="6"/>
  <c r="K13" i="6"/>
  <c r="J13" i="6"/>
  <c r="I13" i="6"/>
  <c r="H13" i="6"/>
  <c r="G13" i="6"/>
  <c r="F13" i="6"/>
  <c r="E13" i="6"/>
  <c r="D13" i="6"/>
  <c r="C13" i="6"/>
  <c r="M8" i="6"/>
  <c r="L8" i="6"/>
  <c r="K8" i="6"/>
  <c r="J8" i="6"/>
  <c r="I8" i="6"/>
  <c r="H8" i="6"/>
  <c r="G8" i="6"/>
  <c r="F8" i="6"/>
  <c r="E8" i="6"/>
  <c r="D8" i="6"/>
  <c r="C8" i="6"/>
  <c r="C9" i="6" s="1"/>
  <c r="G27" i="5"/>
  <c r="F27" i="5"/>
  <c r="E27" i="5"/>
  <c r="D27" i="5"/>
  <c r="C27" i="5"/>
  <c r="D18" i="5"/>
  <c r="D19" i="5" s="1"/>
  <c r="C18" i="5"/>
  <c r="C19" i="5" s="1"/>
  <c r="F15" i="5"/>
  <c r="F16" i="5" s="1"/>
  <c r="E15" i="5"/>
  <c r="E16" i="5" s="1"/>
  <c r="D15" i="5"/>
  <c r="D16" i="5" s="1"/>
  <c r="C15" i="5"/>
  <c r="C16" i="5" s="1"/>
  <c r="D13" i="5"/>
  <c r="C13" i="5"/>
  <c r="G12" i="5"/>
  <c r="G13" i="5" s="1"/>
  <c r="F12" i="5"/>
  <c r="F13" i="5" s="1"/>
  <c r="E12" i="5"/>
  <c r="E13" i="5" s="1"/>
  <c r="D12" i="5"/>
  <c r="C12" i="5"/>
  <c r="G10" i="5"/>
  <c r="F10" i="5"/>
  <c r="E10" i="5"/>
  <c r="D10" i="5"/>
  <c r="C10" i="5"/>
  <c r="G8" i="5"/>
  <c r="F8" i="5"/>
  <c r="E8" i="5"/>
  <c r="D8" i="5"/>
  <c r="C89" i="4"/>
  <c r="E65" i="4"/>
  <c r="D65" i="4"/>
  <c r="C65" i="4"/>
  <c r="C40" i="8" s="1"/>
  <c r="E63" i="4"/>
  <c r="D63" i="4"/>
  <c r="C63" i="4"/>
  <c r="E61" i="4"/>
  <c r="D61" i="4"/>
  <c r="C61" i="4"/>
  <c r="C22" i="4"/>
  <c r="C23" i="4" s="1"/>
  <c r="R54" i="3"/>
  <c r="Q54" i="3"/>
  <c r="P54" i="3"/>
  <c r="O54" i="3"/>
  <c r="N54" i="3"/>
  <c r="M54" i="3"/>
  <c r="L54" i="3"/>
  <c r="K54" i="3"/>
  <c r="J54" i="3"/>
  <c r="I54" i="3"/>
  <c r="H54" i="3"/>
  <c r="R53" i="3"/>
  <c r="Q53" i="3"/>
  <c r="P53" i="3"/>
  <c r="O53" i="3"/>
  <c r="N53" i="3"/>
  <c r="M53" i="3"/>
  <c r="L53" i="3"/>
  <c r="K53" i="3"/>
  <c r="J53" i="3"/>
  <c r="I53" i="3"/>
  <c r="H53" i="3"/>
  <c r="R52" i="3"/>
  <c r="Q52" i="3"/>
  <c r="P52" i="3"/>
  <c r="O52" i="3"/>
  <c r="N52" i="3"/>
  <c r="M52" i="3"/>
  <c r="L52" i="3"/>
  <c r="K52" i="3"/>
  <c r="J52" i="3"/>
  <c r="I52" i="3"/>
  <c r="H52" i="3"/>
  <c r="G33" i="3"/>
  <c r="G47" i="3" s="1"/>
  <c r="F30" i="3"/>
  <c r="C30" i="3"/>
  <c r="G22" i="3"/>
  <c r="C15" i="3"/>
  <c r="C14" i="3"/>
  <c r="G11" i="3"/>
  <c r="C11" i="3"/>
  <c r="G10" i="3"/>
  <c r="C10" i="3"/>
  <c r="G9" i="3"/>
  <c r="C9" i="3"/>
  <c r="C8" i="3"/>
  <c r="C7" i="3"/>
  <c r="C6" i="3"/>
  <c r="G30" i="3" l="1"/>
  <c r="E66" i="4"/>
  <c r="G8" i="3" s="1"/>
  <c r="D66" i="4"/>
  <c r="G7" i="3" s="1"/>
  <c r="C66" i="4"/>
  <c r="C56" i="3" s="1"/>
  <c r="C17" i="3" s="1"/>
  <c r="C58" i="3"/>
  <c r="C19" i="3" s="1"/>
  <c r="C29" i="3" s="1"/>
  <c r="C57" i="3"/>
  <c r="C18" i="3" s="1"/>
  <c r="F27" i="3" s="1"/>
  <c r="D9" i="6"/>
  <c r="C28" i="6"/>
  <c r="C17" i="6"/>
  <c r="C26" i="6" s="1"/>
  <c r="C33" i="6"/>
  <c r="C14" i="6"/>
  <c r="C27" i="6"/>
  <c r="C16" i="6"/>
  <c r="C29" i="6"/>
  <c r="C39" i="6"/>
  <c r="C44" i="8"/>
  <c r="C27" i="8"/>
  <c r="C24" i="9"/>
  <c r="C21" i="9"/>
  <c r="G15" i="5"/>
  <c r="E18" i="5"/>
  <c r="C20" i="5"/>
  <c r="C84" i="6"/>
  <c r="G21" i="3" s="1"/>
  <c r="F18" i="5"/>
  <c r="D20" i="5"/>
  <c r="C26" i="8"/>
  <c r="C25" i="9"/>
  <c r="C70" i="6"/>
  <c r="C28" i="3" l="1"/>
  <c r="G45" i="3"/>
  <c r="C31" i="8"/>
  <c r="C43" i="8" s="1"/>
  <c r="C47" i="8"/>
  <c r="G6" i="3"/>
  <c r="F28" i="3"/>
  <c r="F29" i="3"/>
  <c r="G29" i="3" s="1"/>
  <c r="C27" i="3"/>
  <c r="G27" i="3" s="1"/>
  <c r="C21" i="3"/>
  <c r="G18" i="5"/>
  <c r="G16" i="5"/>
  <c r="C45" i="8"/>
  <c r="C26" i="9"/>
  <c r="D26" i="5"/>
  <c r="D30" i="5" s="1"/>
  <c r="D32" i="5" s="1"/>
  <c r="D21" i="5"/>
  <c r="F20" i="5"/>
  <c r="F19" i="5"/>
  <c r="L40" i="6"/>
  <c r="D40" i="6"/>
  <c r="K40" i="6"/>
  <c r="C40" i="6"/>
  <c r="J40" i="6"/>
  <c r="D39" i="6"/>
  <c r="C79" i="6"/>
  <c r="I40" i="6"/>
  <c r="H40" i="6"/>
  <c r="G40" i="6"/>
  <c r="F40" i="6"/>
  <c r="C48" i="6"/>
  <c r="E40" i="6"/>
  <c r="D28" i="6"/>
  <c r="D17" i="6"/>
  <c r="D26" i="6" s="1"/>
  <c r="D14" i="6"/>
  <c r="D27" i="6"/>
  <c r="D16" i="6"/>
  <c r="D29" i="6"/>
  <c r="E9" i="6"/>
  <c r="C26" i="5"/>
  <c r="C30" i="5" s="1"/>
  <c r="C32" i="5" s="1"/>
  <c r="C21" i="5"/>
  <c r="C18" i="6"/>
  <c r="E19" i="5"/>
  <c r="E20" i="5" s="1"/>
  <c r="G28" i="3" l="1"/>
  <c r="C22" i="3"/>
  <c r="G46" i="3"/>
  <c r="C48" i="8"/>
  <c r="G20" i="3" s="1"/>
  <c r="C31" i="3"/>
  <c r="F31" i="3"/>
  <c r="G31" i="3"/>
  <c r="D33" i="6"/>
  <c r="E26" i="5"/>
  <c r="E30" i="5" s="1"/>
  <c r="E32" i="5" s="1"/>
  <c r="E21" i="5"/>
  <c r="F21" i="5"/>
  <c r="F26" i="5"/>
  <c r="F30" i="5" s="1"/>
  <c r="F32" i="5" s="1"/>
  <c r="E28" i="6"/>
  <c r="E17" i="6"/>
  <c r="E26" i="6" s="1"/>
  <c r="E14" i="6"/>
  <c r="E27" i="6"/>
  <c r="E16" i="6"/>
  <c r="E29" i="6"/>
  <c r="F9" i="6"/>
  <c r="C20" i="6"/>
  <c r="C21" i="6" s="1"/>
  <c r="C19" i="6"/>
  <c r="C34" i="5"/>
  <c r="C33" i="5"/>
  <c r="D34" i="5"/>
  <c r="D33" i="5"/>
  <c r="D18" i="6"/>
  <c r="G19" i="5"/>
  <c r="G20" i="5" s="1"/>
  <c r="G49" i="3" l="1"/>
  <c r="G48" i="3"/>
  <c r="E33" i="6"/>
  <c r="G21" i="5"/>
  <c r="G26" i="5"/>
  <c r="G30" i="5" s="1"/>
  <c r="G32" i="5" s="1"/>
  <c r="C34" i="6"/>
  <c r="C25" i="6"/>
  <c r="C30" i="6" s="1"/>
  <c r="D20" i="6"/>
  <c r="D21" i="6" s="1"/>
  <c r="D19" i="6"/>
  <c r="F33" i="5"/>
  <c r="F34" i="5"/>
  <c r="F14" i="6"/>
  <c r="F27" i="6"/>
  <c r="F16" i="6"/>
  <c r="F29" i="6"/>
  <c r="G9" i="6"/>
  <c r="F28" i="6"/>
  <c r="F17" i="6"/>
  <c r="F26" i="6" s="1"/>
  <c r="E18" i="6"/>
  <c r="E33" i="5"/>
  <c r="E34" i="5"/>
  <c r="F18" i="6" l="1"/>
  <c r="F19" i="6" s="1"/>
  <c r="F33" i="6"/>
  <c r="D25" i="6"/>
  <c r="D30" i="6" s="1"/>
  <c r="D34" i="6"/>
  <c r="G27" i="6"/>
  <c r="G16" i="6"/>
  <c r="G18" i="6" s="1"/>
  <c r="G29" i="6"/>
  <c r="H9" i="6"/>
  <c r="G28" i="6"/>
  <c r="G17" i="6"/>
  <c r="G26" i="6" s="1"/>
  <c r="G14" i="6"/>
  <c r="C31" i="6"/>
  <c r="C32" i="6"/>
  <c r="C41" i="6"/>
  <c r="G33" i="5"/>
  <c r="G34" i="5"/>
  <c r="E19" i="6"/>
  <c r="E20" i="6"/>
  <c r="E21" i="6" s="1"/>
  <c r="F20" i="6" l="1"/>
  <c r="F21" i="6" s="1"/>
  <c r="F25" i="6" s="1"/>
  <c r="F30" i="6" s="1"/>
  <c r="H27" i="6"/>
  <c r="H16" i="6"/>
  <c r="H29" i="6"/>
  <c r="I9" i="6"/>
  <c r="H28" i="6"/>
  <c r="H17" i="6"/>
  <c r="H26" i="6" s="1"/>
  <c r="H14" i="6"/>
  <c r="C42" i="6"/>
  <c r="F34" i="6"/>
  <c r="G33" i="6"/>
  <c r="E25" i="6"/>
  <c r="E30" i="6" s="1"/>
  <c r="E34" i="6"/>
  <c r="G19" i="6"/>
  <c r="G20" i="6"/>
  <c r="G21" i="6" s="1"/>
  <c r="D31" i="6"/>
  <c r="D32" i="6"/>
  <c r="D41" i="6"/>
  <c r="D42" i="6" l="1"/>
  <c r="G34" i="6"/>
  <c r="G25" i="6"/>
  <c r="G30" i="6" s="1"/>
  <c r="E32" i="6"/>
  <c r="E41" i="6"/>
  <c r="E31" i="6"/>
  <c r="H33" i="6"/>
  <c r="I29" i="6"/>
  <c r="J9" i="6"/>
  <c r="I28" i="6"/>
  <c r="I17" i="6"/>
  <c r="I26" i="6" s="1"/>
  <c r="I14" i="6"/>
  <c r="I27" i="6"/>
  <c r="I16" i="6"/>
  <c r="F32" i="6"/>
  <c r="F41" i="6"/>
  <c r="F31" i="6"/>
  <c r="H18" i="6"/>
  <c r="I18" i="6" l="1"/>
  <c r="I20" i="6" s="1"/>
  <c r="I21" i="6" s="1"/>
  <c r="E42" i="6"/>
  <c r="F42" i="6" s="1"/>
  <c r="H20" i="6"/>
  <c r="H21" i="6" s="1"/>
  <c r="H19" i="6"/>
  <c r="I33" i="6"/>
  <c r="G32" i="6"/>
  <c r="G41" i="6"/>
  <c r="G31" i="6"/>
  <c r="J29" i="6"/>
  <c r="K9" i="6"/>
  <c r="J28" i="6"/>
  <c r="J17" i="6"/>
  <c r="J26" i="6" s="1"/>
  <c r="J14" i="6"/>
  <c r="J27" i="6"/>
  <c r="J16" i="6"/>
  <c r="I19" i="6" l="1"/>
  <c r="I34" i="6"/>
  <c r="I25" i="6"/>
  <c r="I30" i="6" s="1"/>
  <c r="H34" i="6"/>
  <c r="H25" i="6"/>
  <c r="H30" i="6" s="1"/>
  <c r="L9" i="6"/>
  <c r="K28" i="6"/>
  <c r="K17" i="6"/>
  <c r="K26" i="6" s="1"/>
  <c r="K14" i="6"/>
  <c r="K27" i="6"/>
  <c r="K16" i="6"/>
  <c r="K29" i="6"/>
  <c r="J33" i="6"/>
  <c r="J18" i="6"/>
  <c r="G42" i="6"/>
  <c r="H32" i="6" l="1"/>
  <c r="H41" i="6"/>
  <c r="H42" i="6" s="1"/>
  <c r="H31" i="6"/>
  <c r="J20" i="6"/>
  <c r="J21" i="6" s="1"/>
  <c r="J19" i="6"/>
  <c r="L28" i="6"/>
  <c r="L17" i="6"/>
  <c r="L26" i="6" s="1"/>
  <c r="L14" i="6"/>
  <c r="L27" i="6"/>
  <c r="L16" i="6"/>
  <c r="L29" i="6"/>
  <c r="M9" i="6"/>
  <c r="K33" i="6"/>
  <c r="K18" i="6"/>
  <c r="I32" i="6"/>
  <c r="I41" i="6"/>
  <c r="I31" i="6"/>
  <c r="I42" i="6" l="1"/>
  <c r="L33" i="6"/>
  <c r="L18" i="6"/>
  <c r="L19" i="6" s="1"/>
  <c r="K20" i="6"/>
  <c r="K21" i="6" s="1"/>
  <c r="K19" i="6"/>
  <c r="J34" i="6"/>
  <c r="J25" i="6"/>
  <c r="J30" i="6" s="1"/>
  <c r="M28" i="6"/>
  <c r="M17" i="6"/>
  <c r="M26" i="6" s="1"/>
  <c r="M33" i="6"/>
  <c r="M14" i="6"/>
  <c r="M27" i="6"/>
  <c r="M16" i="6"/>
  <c r="M29" i="6"/>
  <c r="L20" i="6" l="1"/>
  <c r="L21" i="6" s="1"/>
  <c r="L25" i="6" s="1"/>
  <c r="L30" i="6" s="1"/>
  <c r="K34" i="6"/>
  <c r="K25" i="6"/>
  <c r="K30" i="6" s="1"/>
  <c r="C46" i="6"/>
  <c r="C51" i="6" s="1"/>
  <c r="M18" i="6"/>
  <c r="J41" i="6"/>
  <c r="J42" i="6" s="1"/>
  <c r="J31" i="6"/>
  <c r="J32" i="6"/>
  <c r="L34" i="6" l="1"/>
  <c r="F22" i="7"/>
  <c r="C25" i="7"/>
  <c r="G20" i="7"/>
  <c r="C19" i="7"/>
  <c r="H21" i="7"/>
  <c r="E21" i="7"/>
  <c r="E25" i="7"/>
  <c r="F19" i="7"/>
  <c r="E24" i="7"/>
  <c r="G24" i="7"/>
  <c r="F25" i="7"/>
  <c r="I22" i="7"/>
  <c r="H18" i="7"/>
  <c r="E22" i="7"/>
  <c r="H23" i="7"/>
  <c r="I20" i="7"/>
  <c r="G21" i="7"/>
  <c r="H25" i="7"/>
  <c r="G22" i="7"/>
  <c r="F24" i="7"/>
  <c r="I25" i="7"/>
  <c r="F21" i="7"/>
  <c r="E19" i="7"/>
  <c r="I18" i="7"/>
  <c r="G25" i="7"/>
  <c r="E20" i="7"/>
  <c r="F23" i="7"/>
  <c r="F18" i="7"/>
  <c r="G18" i="7"/>
  <c r="I24" i="7"/>
  <c r="G23" i="7"/>
  <c r="E18" i="7"/>
  <c r="H19" i="7"/>
  <c r="H22" i="7"/>
  <c r="I19" i="7"/>
  <c r="H20" i="7"/>
  <c r="J24" i="7"/>
  <c r="E23" i="7"/>
  <c r="H24" i="7"/>
  <c r="F20" i="7"/>
  <c r="I21" i="7"/>
  <c r="I23" i="7"/>
  <c r="J18" i="7"/>
  <c r="J20" i="7"/>
  <c r="J22" i="7"/>
  <c r="G19" i="7"/>
  <c r="C20" i="7"/>
  <c r="C21" i="7"/>
  <c r="C22" i="7"/>
  <c r="C23" i="7"/>
  <c r="C24" i="7"/>
  <c r="M19" i="6"/>
  <c r="M20" i="6"/>
  <c r="M21" i="6" s="1"/>
  <c r="K31" i="6"/>
  <c r="K32" i="6"/>
  <c r="K41" i="6"/>
  <c r="K42" i="6" s="1"/>
  <c r="J25" i="7"/>
  <c r="J19" i="7"/>
  <c r="J21" i="7"/>
  <c r="J23" i="7"/>
  <c r="D20" i="7"/>
  <c r="D21" i="7"/>
  <c r="C18" i="7"/>
  <c r="D22" i="7"/>
  <c r="D23" i="7"/>
  <c r="D24" i="7"/>
  <c r="D25" i="7"/>
  <c r="D18" i="7"/>
  <c r="D19" i="7"/>
  <c r="L31" i="6"/>
  <c r="L32" i="6"/>
  <c r="L41" i="6"/>
  <c r="M41" i="6" s="1"/>
  <c r="C57" i="6" s="1"/>
  <c r="L42" i="6" l="1"/>
  <c r="M25" i="6"/>
  <c r="M30" i="6" s="1"/>
  <c r="C78" i="6"/>
  <c r="M34" i="6"/>
  <c r="C80" i="6" l="1"/>
  <c r="C81" i="6"/>
  <c r="C45" i="6"/>
  <c r="C50" i="6" s="1"/>
  <c r="C52" i="6" s="1"/>
  <c r="M32" i="6"/>
  <c r="C82" i="6" s="1"/>
  <c r="C83" i="6" s="1"/>
  <c r="D83" i="6" s="1"/>
  <c r="M31" i="6"/>
  <c r="F9" i="7"/>
  <c r="E7" i="7"/>
  <c r="C12" i="7"/>
  <c r="J10" i="7"/>
  <c r="I8" i="7"/>
  <c r="F8" i="7"/>
  <c r="C11" i="7"/>
  <c r="J9" i="7"/>
  <c r="I7" i="7"/>
  <c r="G12" i="7"/>
  <c r="F7" i="7"/>
  <c r="D12" i="7"/>
  <c r="C10" i="7"/>
  <c r="J8" i="7"/>
  <c r="H12" i="7"/>
  <c r="G11" i="7"/>
  <c r="E12" i="7"/>
  <c r="D11" i="7"/>
  <c r="C9" i="7"/>
  <c r="J7" i="7"/>
  <c r="H11" i="7"/>
  <c r="G10" i="7"/>
  <c r="E11" i="7"/>
  <c r="D10" i="7"/>
  <c r="C8" i="7"/>
  <c r="I12" i="7"/>
  <c r="H10" i="7"/>
  <c r="G9" i="7"/>
  <c r="F12" i="7"/>
  <c r="E10" i="7"/>
  <c r="D9" i="7"/>
  <c r="C7" i="7"/>
  <c r="I11" i="7"/>
  <c r="H9" i="7"/>
  <c r="I10" i="7"/>
  <c r="E9" i="7"/>
  <c r="I9" i="7"/>
  <c r="E8" i="7"/>
  <c r="G8" i="7"/>
  <c r="G7" i="7"/>
  <c r="J12" i="7"/>
  <c r="H8" i="7"/>
  <c r="F11" i="7"/>
  <c r="J11" i="7"/>
  <c r="H7" i="7"/>
  <c r="F10" i="7"/>
  <c r="D8" i="7"/>
  <c r="D7" i="7"/>
  <c r="C53" i="6" l="1"/>
  <c r="D52" i="6"/>
  <c r="D80" i="6"/>
  <c r="G23" i="3"/>
  <c r="C54" i="6" l="1"/>
  <c r="G17" i="3" s="1"/>
  <c r="C58" i="6"/>
  <c r="C59" i="6" s="1"/>
  <c r="C27" i="9" l="1"/>
  <c r="C28" i="9" s="1"/>
  <c r="C69" i="6"/>
  <c r="C75" i="6"/>
  <c r="G13" i="3"/>
  <c r="C74" i="6"/>
  <c r="G16" i="3" s="1"/>
  <c r="C71" i="6" l="1"/>
  <c r="G14" i="3"/>
  <c r="G15" i="3" l="1"/>
  <c r="C7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Ian T</author>
  </authors>
  <commentList>
    <comment ref="C45" authorId="0" shapeId="0" xr:uid="{3F580E63-E213-4D7C-97BE-11333284BB56}">
      <text>
        <r>
          <rPr>
            <b/>
            <sz val="9"/>
            <color indexed="81"/>
            <rFont val="Tahoma"/>
          </rPr>
          <t>Ian T:</t>
        </r>
        <r>
          <rPr>
            <sz val="9"/>
            <color indexed="81"/>
            <rFont val="Tahoma"/>
          </rPr>
          <t xml:space="preserve">
Source: uploaded 'Recommendations &amp; Target Price AMZN.O.pdf' (LSEG), 01-Jul-2026 — mean of 69 analysts, +27.89% vs price</t>
        </r>
      </text>
    </comment>
    <comment ref="C46" authorId="0" shapeId="0" xr:uid="{2782D491-9E5E-44DF-911F-E55D69B10F3F}">
      <text>
        <r>
          <rPr>
            <b/>
            <sz val="9"/>
            <color indexed="81"/>
            <rFont val="Tahoma"/>
          </rPr>
          <t>Ian T:</t>
        </r>
        <r>
          <rPr>
            <sz val="9"/>
            <color indexed="81"/>
            <rFont val="Tahoma"/>
          </rPr>
          <t xml:space="preserve">
Source: uploaded 'Recommendations &amp; Target Price AMZN.O.pdf' (LSEG), 01-Jul-2026</t>
        </r>
      </text>
    </comment>
    <comment ref="C47" authorId="0" shapeId="0" xr:uid="{7BF27CE8-B53B-4CA4-8B72-8FE48809F093}">
      <text>
        <r>
          <rPr>
            <b/>
            <sz val="9"/>
            <color indexed="81"/>
            <rFont val="Tahoma"/>
          </rPr>
          <t>Ian T:</t>
        </r>
        <r>
          <rPr>
            <sz val="9"/>
            <color indexed="81"/>
            <rFont val="Tahoma"/>
          </rPr>
          <t xml:space="preserve">
High: $360 (Loop Capital). Source: uploaded Recommendations PDF (LSEG), 01-Jul-2026</t>
        </r>
      </text>
    </comment>
    <comment ref="D47" authorId="0" shapeId="0" xr:uid="{11D3DB98-1B5D-4E24-8873-FCD2CCA0C5D6}">
      <text>
        <r>
          <rPr>
            <b/>
            <sz val="9"/>
            <color indexed="81"/>
            <rFont val="Tahoma"/>
          </rPr>
          <t>Ian T:</t>
        </r>
        <r>
          <rPr>
            <sz val="9"/>
            <color indexed="81"/>
            <rFont val="Tahoma"/>
          </rPr>
          <t xml:space="preserve">
Low: $207 (Mirae Asset). Source: uploaded Recommendations PDF (LSEG), 01-Jul-2026</t>
        </r>
      </text>
    </comment>
    <comment ref="C48" authorId="0" shapeId="0" xr:uid="{E634E1A5-8D48-4FA6-8D90-926BC2E7B2B6}">
      <text>
        <r>
          <rPr>
            <b/>
            <sz val="9"/>
            <color indexed="81"/>
            <rFont val="Tahoma"/>
          </rPr>
          <t>Ian T:</t>
        </r>
        <r>
          <rPr>
            <sz val="9"/>
            <color indexed="81"/>
            <rFont val="Tahoma"/>
          </rPr>
          <t xml:space="preserve">
BUY. 19 Strong Buy / 46 Buy / 4 Hold / 0 Sell. Source: uploaded Recommendations PDF (LSEG), 01-Jul-2026</t>
        </r>
      </text>
    </comment>
    <comment ref="C49" authorId="0" shapeId="0" xr:uid="{C0BF60DD-9ECC-4AEB-8120-45D3890CF744}">
      <text>
        <r>
          <rPr>
            <b/>
            <sz val="9"/>
            <color indexed="81"/>
            <rFont val="Tahoma"/>
          </rPr>
          <t>Ian T:</t>
        </r>
        <r>
          <rPr>
            <sz val="9"/>
            <color indexed="81"/>
            <rFont val="Tahoma"/>
          </rPr>
          <t xml:space="preserve">
Long-term growth consensus 20.50%. Source: uploaded Recommendations PDF (LSEG), 01-Jul-2026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Ian T</author>
  </authors>
  <commentList>
    <comment ref="C16" authorId="0" shapeId="0" xr:uid="{22640534-72E9-46E5-9A85-85E49622C100}">
      <text>
        <r>
          <rPr>
            <b/>
            <sz val="9"/>
            <color indexed="81"/>
            <rFont val="Tahoma"/>
          </rPr>
          <t>Ian T:</t>
        </r>
        <r>
          <rPr>
            <sz val="9"/>
            <color indexed="81"/>
            <rFont val="Tahoma"/>
          </rPr>
          <t xml:space="preserve">
Implied from uploaded 'Recommendations &amp; Target Price AMZN.O.pdf' (LSEG, 01-Jul-2026): mean target $309.10 = +27.89% vs current price → $241.75</t>
        </r>
      </text>
    </comment>
    <comment ref="C27" authorId="0" shapeId="0" xr:uid="{58354104-373D-4F05-B518-875AFA4DB1BA}">
      <text>
        <r>
          <rPr>
            <b/>
            <sz val="9"/>
            <color indexed="81"/>
            <rFont val="Tahoma"/>
          </rPr>
          <t>Ian T:</t>
        </r>
        <r>
          <rPr>
            <sz val="9"/>
            <color indexed="81"/>
            <rFont val="Tahoma"/>
          </rPr>
          <t xml:space="preserve">
Source: SEC EDGAR 8-K, Apr 29 2026 — Q1-26 net sales +17% YoY ($181.5B), AWS +28%, Q2 guide $194–199B (+16–19%). Base fades 17%→12% over Yr1-3. https://www.sec.gov/Archives/edgar/data/0001018724/000101872426000012/amzn-20260331xex991.htm</t>
        </r>
      </text>
    </comment>
    <comment ref="D27" authorId="0" shapeId="0" xr:uid="{047A9DD6-1A7C-489F-B360-70A338CE091D}">
      <text>
        <r>
          <rPr>
            <b/>
            <sz val="9"/>
            <color indexed="81"/>
            <rFont val="Tahoma"/>
          </rPr>
          <t>Ian T:</t>
        </r>
        <r>
          <rPr>
            <sz val="9"/>
            <color indexed="81"/>
            <rFont val="Tahoma"/>
          </rPr>
          <t xml:space="preserve">
Bear: consumer slowdown + AWS decel to mid-teens; below FX-neutral Q1-26 growth of 15% (SEC 8-K Apr 29, 2026)</t>
        </r>
      </text>
    </comment>
    <comment ref="E27" authorId="0" shapeId="0" xr:uid="{7B2095BF-0452-434D-9AA2-9A15FBD8FF0D}">
      <text>
        <r>
          <rPr>
            <b/>
            <sz val="9"/>
            <color indexed="81"/>
            <rFont val="Tahoma"/>
          </rPr>
          <t>Ian T:</t>
        </r>
        <r>
          <rPr>
            <sz val="9"/>
            <color indexed="81"/>
            <rFont val="Tahoma"/>
          </rPr>
          <t xml:space="preserve">
Bull: sustains Q1-26 pace (+17%); AWS backlog $364B (Q1-26 earnings call, Apr 29 2026) converts faster</t>
        </r>
      </text>
    </comment>
    <comment ref="C37" authorId="0" shapeId="0" xr:uid="{80662BC9-C3A5-46EA-9A2E-D569F09482BA}">
      <text>
        <r>
          <rPr>
            <b/>
            <sz val="9"/>
            <color indexed="81"/>
            <rFont val="Tahoma"/>
          </rPr>
          <t>Ian T:</t>
        </r>
        <r>
          <rPr>
            <sz val="9"/>
            <color indexed="81"/>
            <rFont val="Tahoma"/>
          </rPr>
          <t xml:space="preserve">
FY2025 actual EBITDA margin 20.3% (Historicals). Q1-26 operating margin 13.1% — record (Source: SEC EDGAR 8-K Apr 29 2026, https://www.sec.gov/Archives/edgar/data/0001018724/000101872426000012/amzn-20260331xex991.htm)</t>
        </r>
      </text>
    </comment>
    <comment ref="C38" authorId="0" shapeId="0" xr:uid="{4BB45A6A-AB63-473F-A8AD-F65E4A19E1BB}">
      <text>
        <r>
          <rPr>
            <b/>
            <sz val="9"/>
            <color indexed="81"/>
            <rFont val="Tahoma"/>
          </rPr>
          <t>Ian T:</t>
        </r>
        <r>
          <rPr>
            <sz val="9"/>
            <color indexed="81"/>
            <rFont val="Tahoma"/>
          </rPr>
          <t xml:space="preserve">
AWS ($14.2B op income on $37.6B rev in Q1-26, ~38% margin) + advertising mix shift drives expansion</t>
        </r>
      </text>
    </comment>
    <comment ref="C40" authorId="0" shapeId="0" xr:uid="{AF6DE205-61A7-4EA6-9DBE-D18E84883C2F}">
      <text>
        <r>
          <rPr>
            <b/>
            <sz val="9"/>
            <color indexed="81"/>
            <rFont val="Tahoma"/>
          </rPr>
          <t>Ian T:</t>
        </r>
        <r>
          <rPr>
            <sz val="9"/>
            <color indexed="81"/>
            <rFont val="Tahoma"/>
          </rPr>
          <t xml:space="preserve">
FY2025 actual 9.2% of revenue (CF-Export PDF); rises with data-center buildout</t>
        </r>
      </text>
    </comment>
    <comment ref="C41" authorId="0" shapeId="0" xr:uid="{0BBDE778-BD53-444F-9175-E0829D2703E6}">
      <text>
        <r>
          <rPr>
            <b/>
            <sz val="9"/>
            <color indexed="81"/>
            <rFont val="Tahoma"/>
          </rPr>
          <t>Ian T:</t>
        </r>
        <r>
          <rPr>
            <sz val="9"/>
            <color indexed="81"/>
            <rFont val="Tahoma"/>
          </rPr>
          <t xml:space="preserve">
FY2025 actual: SBC $19,467mm / $716,924mm = 2.7% (CF-Export PDF)</t>
        </r>
      </text>
    </comment>
    <comment ref="C47" authorId="0" shapeId="0" xr:uid="{001E88B8-D92C-4BFF-8807-E7F58B2A97DD}">
      <text>
        <r>
          <rPr>
            <b/>
            <sz val="9"/>
            <color indexed="81"/>
            <rFont val="Tahoma"/>
          </rPr>
          <t>Ian T:</t>
        </r>
        <r>
          <rPr>
            <sz val="9"/>
            <color indexed="81"/>
            <rFont val="Tahoma"/>
          </rPr>
          <t xml:space="preserve">
Source: CNBC, Apr 29 2026 — Amazon guided ~$200B FY2026 capex (≈24% of est. revenue), Q1-26 cash capex $43.2B; Ph1 avg assumes fade 24%→18%. https://www.cnbc.com/2026/04/29/amazon-amzn-q1-earnings-report-2026.html</t>
        </r>
      </text>
    </comment>
    <comment ref="C48" authorId="0" shapeId="0" xr:uid="{C1529D4B-E006-435C-A63C-35F843903AB1}">
      <text>
        <r>
          <rPr>
            <b/>
            <sz val="9"/>
            <color indexed="81"/>
            <rFont val="Tahoma"/>
          </rPr>
          <t>Ian T:</t>
        </r>
        <r>
          <rPr>
            <sz val="9"/>
            <color indexed="81"/>
            <rFont val="Tahoma"/>
          </rPr>
          <t xml:space="preserve">
Base Phase-2 capex eased 14% → 12.5% per user calibration toward street (Jul 2026). Context: FY26 guide ~$200B (~24% of rev) fading; Q1-26 cash capex $43.2B. Source: CNBC, https://www.cnbc.com/2026/04/29/amazon-amzn-q1-earnings-report-2026.html</t>
        </r>
      </text>
    </comment>
    <comment ref="C56" authorId="0" shapeId="0" xr:uid="{B6BE3F71-530D-4DE9-9C8C-AF4E3BED44E6}">
      <text>
        <r>
          <rPr>
            <b/>
            <sz val="9"/>
            <color indexed="81"/>
            <rFont val="Tahoma"/>
          </rPr>
          <t>Ian T:</t>
        </r>
        <r>
          <rPr>
            <sz val="9"/>
            <color indexed="81"/>
            <rFont val="Tahoma"/>
          </rPr>
          <t xml:space="preserve">
Source: CNBC US10Y quote — 10Y Treasury ~4.44–4.48% (Jun 30–Jul 1, 2026). https://www.cnbc.com/quotes/US10Y</t>
        </r>
      </text>
    </comment>
    <comment ref="C57" authorId="0" shapeId="0" xr:uid="{689DEE07-1370-45A0-A274-831B635E598B}">
      <text>
        <r>
          <rPr>
            <b/>
            <sz val="9"/>
            <color indexed="81"/>
            <rFont val="Tahoma"/>
          </rPr>
          <t>Ian T:</t>
        </r>
        <r>
          <rPr>
            <sz val="9"/>
            <color indexed="81"/>
            <rFont val="Tahoma"/>
          </rPr>
          <t xml:space="preserve">
Source: Damodaran Online — implied US ERP 4.23% (Jan 2026). https://pages.stern.nyu.edu/~adamodar/New_Home_Page/datafile/histimpl.html</t>
        </r>
      </text>
    </comment>
    <comment ref="C58" authorId="0" shapeId="0" xr:uid="{3B3951E1-CA8C-4BBD-AFB7-8792AEC4CC80}">
      <text>
        <r>
          <rPr>
            <b/>
            <sz val="9"/>
            <color indexed="81"/>
            <rFont val="Tahoma"/>
          </rPr>
          <t>Ian T:</t>
        </r>
        <r>
          <rPr>
            <sz val="9"/>
            <color indexed="81"/>
            <rFont val="Tahoma"/>
          </rPr>
          <t xml:space="preserve">
Bloomberg-adjusted beta 1.31 (raw regression 1.46) per 📋 WACC Builder; Bear uses raw 1.45, Bull 1.15</t>
        </r>
      </text>
    </comment>
    <comment ref="C62" authorId="0" shapeId="0" xr:uid="{F02075B2-A9F3-4563-B543-30A338409B02}">
      <text>
        <r>
          <rPr>
            <b/>
            <sz val="9"/>
            <color indexed="81"/>
            <rFont val="Tahoma"/>
          </rPr>
          <t>Ian T:</t>
        </r>
        <r>
          <rPr>
            <sz val="9"/>
            <color indexed="81"/>
            <rFont val="Tahoma"/>
          </rPr>
          <t xml:space="preserve">
10Y UST 4.45% + ~45bps AA-corporate spread; WA coupon on existing tranches 2.97% (🏦 Cap Structure) reflects legacy low-rate issuance</t>
        </r>
      </text>
    </comment>
    <comment ref="C70" authorId="0" shapeId="0" xr:uid="{2D7F2B83-561A-4B29-91B8-43AEF5EBE491}">
      <text>
        <r>
          <rPr>
            <b/>
            <sz val="9"/>
            <color indexed="81"/>
            <rFont val="Tahoma"/>
          </rPr>
          <t>Ian T:</t>
        </r>
        <r>
          <rPr>
            <sz val="9"/>
            <color indexed="81"/>
            <rFont val="Tahoma"/>
          </rPr>
          <t xml:space="preserve">
Terminal EBITDA margin raised 27% → 28% per user calibration; supported by AWS/advertising mix shift (Q1-26 record 13.1% op margin). Source: SEC EDGAR 8-K Apr 29 2026, https://www.sec.gov/Archives/edgar/data/0001018724/000101872426000012/amzn-20260331xex991.htm</t>
        </r>
      </text>
    </comment>
    <comment ref="C71" authorId="0" shapeId="0" xr:uid="{5CF4AA7F-D7F2-410E-A77F-4B354B3CB3D0}">
      <text>
        <r>
          <rPr>
            <b/>
            <sz val="9"/>
            <color indexed="81"/>
            <rFont val="Tahoma"/>
          </rPr>
          <t>Ian T:</t>
        </r>
        <r>
          <rPr>
            <sz val="9"/>
            <color indexed="81"/>
            <rFont val="Tahoma"/>
          </rPr>
          <t xml:space="preserve">
Terminal capex converges toward D&amp;A (~10% of rev) as AI buildout normalizes</t>
        </r>
      </text>
    </comment>
    <comment ref="C79" authorId="0" shapeId="0" xr:uid="{14A10F09-79C2-433B-9EF7-72EA37CA4CAF}">
      <text>
        <r>
          <rPr>
            <b/>
            <sz val="9"/>
            <color indexed="81"/>
            <rFont val="Tahoma"/>
          </rPr>
          <t>Ian T:</t>
        </r>
        <r>
          <rPr>
            <sz val="9"/>
            <color indexed="81"/>
            <rFont val="Tahoma"/>
          </rPr>
          <t xml:space="preserve">
Source: uploaded CF-Export-01-07-2026.pdf (LSEG), Dec-2025 balance sheet: LT debt ex-leases $65,648 + ST debt &amp; current portion ex-leases $3,203 + finance leases (current $1,902 + LT $18,542) = $89,295mm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Ian T</author>
  </authors>
  <commentList>
    <comment ref="D39" authorId="0" shapeId="0" xr:uid="{00000000-0006-0000-0500-000001000000}">
      <text>
        <r>
          <rPr>
            <sz val="11"/>
            <color theme="1"/>
            <rFont val="Calibri"/>
            <family val="2"/>
            <scheme val="minor"/>
          </rPr>
          <t>Ian T:
WACC is constant across the 10-year horizon — same scenario-driven rate as C39.</t>
        </r>
      </text>
    </comment>
    <comment ref="D52" authorId="0" shapeId="0" xr:uid="{00000000-0006-0000-0500-000002000000}">
      <text>
        <r>
          <rPr>
            <sz val="11"/>
            <color theme="1"/>
            <rFont val="Calibri"/>
            <family val="2"/>
            <scheme val="minor"/>
          </rPr>
          <t>Ian T:
TV method driven by toggle at Assumptions!C73 ("Gordon Growth" vs "Exit Multiple"). TV is a single value at end-of-Year-10, not per-year.</t>
        </r>
      </text>
    </comment>
    <comment ref="D80" authorId="0" shapeId="0" xr:uid="{00000000-0006-0000-0500-000003000000}">
      <text>
        <r>
          <rPr>
            <sz val="11"/>
            <color theme="1"/>
            <rFont val="Calibri"/>
            <family val="2"/>
            <scheme val="minor"/>
          </rPr>
          <t>Ian T:
Positive = value creation in terminal period; near-zero = no excess return over WACC.</t>
        </r>
      </text>
    </comment>
    <comment ref="D83" authorId="0" shapeId="0" xr:uid="{00000000-0006-0000-0500-000004000000}">
      <text>
        <r>
          <rPr>
            <sz val="11"/>
            <color theme="1"/>
            <rFont val="Calibri"/>
            <family val="2"/>
            <scheme val="minor"/>
          </rPr>
          <t>Ian T:
Large gap = terminal margins / reinvestment inconsistent with assumed ROIC. Target: within ±2%.</t>
        </r>
      </text>
    </comment>
  </commentList>
</comments>
</file>

<file path=xl/sharedStrings.xml><?xml version="1.0" encoding="utf-8"?>
<sst xmlns="http://schemas.openxmlformats.org/spreadsheetml/2006/main" count="1144" uniqueCount="922">
  <si>
    <t>📖  README  —  How to Use This DCF Valuation Model (Make a copy of this file if using for modeling specific equities)</t>
  </si>
  <si>
    <t>A practical, plain-English guide for first-time users. Read this once before touching any tab — it will save you hours.</t>
  </si>
  <si>
    <t>WHAT THIS WORKBOOK IS</t>
  </si>
  <si>
    <t>This is a complete discounted-cash-flow (DCF) valuation model with three scenarios (Base / Bear / Bull), a CAPM-based WACC builder, a capital-structure schedule, and a sensitivity grid. It is designed so an analyst with no prior modeling experience can produce a defensible per-share intrinsic value by filling in roughly 60 input cells. Every output — enterprise value, equity value, intrinsic share price, ROIC, reinvestment rate — flows from formulas you can trace, not hardcoded numbers.</t>
  </si>
  <si>
    <t>THE 9 TABS  —  AT A GLANCE</t>
  </si>
  <si>
    <t>Read tabs left-to-right. Information flows in the same direction.</t>
  </si>
  <si>
    <t>#</t>
  </si>
  <si>
    <t>Tab</t>
  </si>
  <si>
    <t>What it does</t>
  </si>
  <si>
    <t>Edit?</t>
  </si>
  <si>
    <t>📖 Readme</t>
  </si>
  <si>
    <t>This sheet. Orientation, workflow, and tips for using AI to speed up data entry.</t>
  </si>
  <si>
    <t>No</t>
  </si>
  <si>
    <t>📝 Student Checklist</t>
  </si>
  <si>
    <t>Step-by-step workflow. 10 sections explain the "why," "how to think," and "what to watch for" of each input. Includes a right-side reference table showing where to find every data point (SEC EDGAR, Yahoo Finance, Capital IQ, Damodaran, etc.).</t>
  </si>
  <si>
    <t>No — read-only guide</t>
  </si>
  <si>
    <t>⚙️ Assumptions</t>
  </si>
  <si>
    <t>THE ONLY TAB YOU REALLY EDIT. Single source of truth. Three columns: Base / Bear / Bull. Company info, share data, growth rates, margins, CapEx, WACC components, terminal value. Everything else reads from here.</t>
  </si>
  <si>
    <t>Yes — blue cells only</t>
  </si>
  <si>
    <t>📋 WACC Builder</t>
  </si>
  <si>
    <t>Walks through CAPM step-by-step: Risk-free rate → Beta × ERP → Cost of Equity. Then weighted-average cost of debt. Then WACC. A check cell flags if your manually entered WACC doesn't match the built-up version.</t>
  </si>
  <si>
    <t>Rarely — values are linked</t>
  </si>
  <si>
    <t>🏦 Cap Structure</t>
  </si>
  <si>
    <t>Debt tranche schedule (revolver, term loan, bonds), diluted share waterfall (basic + options + RSUs − treasury method), and a market-cap / EV cross-check vs the DCF output.</t>
  </si>
  <si>
    <t>Edit debt tranches only</t>
  </si>
  <si>
    <t>📈 Historicals</t>
  </si>
  <si>
    <t>5 years of historical income statement, free cash flow, and ratios. This is your evidence base — fill this in FIRST so your assumptions are grounded in reality, not guesses.</t>
  </si>
  <si>
    <t>Yes — paste from 10-K</t>
  </si>
  <si>
    <t>🔢 DCF Engine</t>
  </si>
  <si>
    <t>The actual valuation: 10-year revenue → EBITDA → NOPAT → FCFF projection, terminal value, discount to present value, enterprise-to-equity bridge, intrinsic value per share. Auto-computed for all three scenarios.</t>
  </si>
  <si>
    <t>No — fully formula-driven</t>
  </si>
  <si>
    <t>📉 Sensitivity</t>
  </si>
  <si>
    <t>Two-way sensitivity tables: WACC × Terminal Growth Rate and WACC × Terminal EBITDA Margin. Shows how intrinsic value swings.</t>
  </si>
  <si>
    <t>No — reads from DCF Engine</t>
  </si>
  <si>
    <t>📊 Dashboard</t>
  </si>
  <si>
    <t>One-page executive summary. Probability-weighted intrinsic value, upside/downside vs current price, scenario comparison, all sanity-check flags in one place. Open this LAST to see your result.</t>
  </si>
  <si>
    <t>No — summary view</t>
  </si>
  <si>
    <t>THE 5-STEP WORKFLOW</t>
  </si>
  <si>
    <t>Follow this order. Skipping ahead is the most common mistake.</t>
  </si>
  <si>
    <t>STEP 1</t>
  </si>
  <si>
    <t>Read the 📝 Student Checklist top to bottom</t>
  </si>
  <si>
    <t>Don't fill anything in yet. Just read. The checklist explains what each input is, where to find it, and what to watch out for. ~15 minutes.</t>
  </si>
  <si>
    <t>STEP 2</t>
  </si>
  <si>
    <t>Fill in 📈 Historicals</t>
  </si>
  <si>
    <t>Pull 5 years of revenue, gross profit, EBITDA, EBIT, net income, CapEx, and working capital from the company's 10-K (or Form 20-F for foreign filers). Source: SEC EDGAR. This is your evidence base for every assumption that follows.</t>
  </si>
  <si>
    <t>STEP 3</t>
  </si>
  <si>
    <t>Fill in ⚙️ Assumptions — Base case first</t>
  </si>
  <si>
    <t>Work column C (Base) from top to bottom. Use the historicals as your anchor: a company that grew 15% historically isn't going to grow 40% — unless you have a specific reason. Cite the source in a cell note (Right-click → New Note).</t>
  </si>
  <si>
    <t>STEP 4</t>
  </si>
  <si>
    <t>Fill in Bear (column D) and Bull (column E)</t>
  </si>
  <si>
    <t>Bear and Bull should be plausible — not catastrophic or euphoric. A reasonable rule of thumb: Bear is "recession + competitive pressure," Bull is "successful product launch + multiple expansion." Then set scenario probabilities at the bottom of Assumptions (must sum to 100%).</t>
  </si>
  <si>
    <t>STEP 5</t>
  </si>
  <si>
    <t>Review 📊 Dashboard and stress-test on 📉 Sensitivity</t>
  </si>
  <si>
    <t>Open the Dashboard. Look at the probability-weighted intrinsic value, the implied upside/downside vs current price, and ALL sanity check flags (should read "OK" in green). If any flag is yellow or red, go back and fix the upstream input on ⚙️ Assumptions.</t>
  </si>
  <si>
    <t>CELL COLOR CODE  —  THE RULES OF THE ROAD</t>
  </si>
  <si>
    <t>Before you click any cell, look at its color. The color tells you whether you can edit it.</t>
  </si>
  <si>
    <t>BLUE TEXT</t>
  </si>
  <si>
    <t>Hardcoded input — edit freely</t>
  </si>
  <si>
    <t>These are the numbers you type in. They live on ⚙️ Assumptions almost exclusively.</t>
  </si>
  <si>
    <t>BLACK TEXT</t>
  </si>
  <si>
    <t>Formula — do not overwrite</t>
  </si>
  <si>
    <t>These are computed. If you don't like the result, change the upstream blue input — don't paste over the formula.</t>
  </si>
  <si>
    <t>GREEN TEXT</t>
  </si>
  <si>
    <t>Cross-sheet link — pulls from a tab</t>
  </si>
  <si>
    <t>These cells reference another sheet (e.g., DCF Engine pulling growth from Assumptions). Hit Ctrl+[ to jump to the source.</t>
  </si>
  <si>
    <t>RED TEXT</t>
  </si>
  <si>
    <t>External file link — fragile</t>
  </si>
  <si>
    <t>Rare. Flag immediately if you see one; it will break when the file is renamed or shared.</t>
  </si>
  <si>
    <t>YELLOW FILL</t>
  </si>
  <si>
    <t>Key assumption OR check cell</t>
  </si>
  <si>
    <t>Yellow cells either need attention (key driver) or are sanity checks (probability sum, WACC tie-out). Don't ignore yellow.</t>
  </si>
  <si>
    <t>GETTING DATA IN  —  MANUAL ENTRY (WHERE EACH INPUT COMES FROM)</t>
  </si>
  <si>
    <t>Always cite the source in a cell note. Right-click → New Note. Format: 'Source: [name], [URL], [date].'</t>
  </si>
  <si>
    <t>Input</t>
  </si>
  <si>
    <t>Primary source (free, official)</t>
  </si>
  <si>
    <t>Tip</t>
  </si>
  <si>
    <t>Company info, ticker, FX</t>
  </si>
  <si>
    <t>10-K cover page on SEC EDGAR</t>
  </si>
  <si>
    <t>Use legal entity name (e.g., 'Alphabet Inc.' not 'Google').</t>
  </si>
  <si>
    <t>Historical financials</t>
  </si>
  <si>
    <t>10-K Item 8 (financial statements)</t>
  </si>
  <si>
    <t>Pull from the most recent 10-K — it restates prior years if accounting changed.</t>
  </si>
  <si>
    <t>Current share price</t>
  </si>
  <si>
    <t>Stock quote via Excel Data Tab, Yahoo Finance</t>
  </si>
  <si>
    <t>Use the close on your valuation date, not intraday.</t>
  </si>
  <si>
    <t>Diluted share count</t>
  </si>
  <si>
    <t>10-Q most recent — cover page</t>
  </si>
  <si>
    <t>Use period-end diluted shares, not weighted-average from the IS.</t>
  </si>
  <si>
    <t>Risk-free rate (10Y UST)</t>
  </si>
  <si>
    <t>fred.stlouisfed.org — DGS10 series</t>
  </si>
  <si>
    <t>Use the yield on your valuation date. Round to one decimal.</t>
  </si>
  <si>
    <t>Equity Risk Premium (ERP)</t>
  </si>
  <si>
    <t>Damodaran ERP page (Stern NYU)</t>
  </si>
  <si>
    <t>Free at pages.stern.nyu.edu/~adamodar. Use 'Implied ERP' for the most recent month.</t>
  </si>
  <si>
    <t>Beta (levered)</t>
  </si>
  <si>
    <t>Yahoo Finance summary tab, use stock quote via Excel Data Tab</t>
  </si>
  <si>
    <t>Damodaran also publishes industry-average betas — more stable than single-stock.</t>
  </si>
  <si>
    <t>Debt schedule, rates</t>
  </si>
  <si>
    <t>10-K note on long-term debt</t>
  </si>
  <si>
    <t>List each tranche with principal, rate, maturity. Use weighted-avg cost of debt.</t>
  </si>
  <si>
    <t>Macro &amp; industry context</t>
  </si>
  <si>
    <t>IMF WEO, OECD, Damodaran data</t>
  </si>
  <si>
    <t>Anchor revenue growth to industry CAGRs and management guidance.</t>
  </si>
  <si>
    <t>GETTING DATA IN  —  USING AI TO ACCELERATE</t>
  </si>
  <si>
    <t>AI tools (Claude, ChatGPT, Copilot in Excel, Gemini) can cut hours off data entry. Used carelessly, they invent numbers. Use them under these rules.</t>
  </si>
  <si>
    <t>✅  WHAT AI IS GREAT AT</t>
  </si>
  <si>
    <t>1.  Extracting structured data from filings.  Paste a financial statement, ask: "Give me revenue, gross profit, operating income, net income, and diluted shares for the last 5 years as a CSV." Verify against the source.</t>
  </si>
  <si>
    <t>2.  Calculating ratios you've forgotten the formula for.  CapEx as % of revenue, NWC days, effective tax rate — just ask. Then sanity-check against a year you can compute by hand.</t>
  </si>
  <si>
    <t>3.  Finding the right page in a 200-page 10-K.  "What page discusses the long-term debt schedule?" Saves 20 minutes of scrolling.</t>
  </si>
  <si>
    <t>4.  Writing or debugging Excel formulas.  Especially XLOOKUP, INDEX/MATCH, SUMIFS, and array formulas. Paste what's broken and ask what's wrong.</t>
  </si>
  <si>
    <t>5.  Sanity-checking your assumptions.  "My model assumes 25% revenue growth for 5 years for a $50B company — is that realistic?" AI will tell you what's plausible.</t>
  </si>
  <si>
    <t>6.  Drafting cell notes and source citations.  "Write a 1-sentence note explaining why I'm using a beta of 1.25 for this company."</t>
  </si>
  <si>
    <t>⚠  WHAT AI IS BAD AT  —  AND WILL GET YOU BURNED</t>
  </si>
  <si>
    <t>1.  Live market data.  AI does NOT have today's stock price, 10-Y Treasury yield, or index level. It will guess. Always pull live data from Excel Data, Yahoo Finance, or Bloomberg yourself.</t>
  </si>
  <si>
    <t>2.  Numbers from filings it hasn't seen.  If you don't paste the 10-K text in, the AI is recalling from training data — which may be 2 years old. Always paste the source.</t>
  </si>
  <si>
    <t>3.  Forward-looking guidance.  AI may confidently cite "management's FY26 guidance" that was never given. If it didn't come from a transcript you fed it, don't trust it.</t>
  </si>
  <si>
    <t>4.  Subjective judgment calls.  Probability weighting, terminal growth rate, exit multiple — these are YOUR judgment, informed by AI's analysis. Don't outsource them.</t>
  </si>
  <si>
    <t>🔄  RECOMMENDED AI WORKFLOW  —  SAVES ~3 HOURS PER MODEL</t>
  </si>
  <si>
    <t>Step A</t>
  </si>
  <si>
    <t>Download the company's most recent 10-K as a PDF from SEC EDGAR.</t>
  </si>
  <si>
    <t>Step B</t>
  </si>
  <si>
    <t>Upload the PDF to your AI tool. Prompt: "Extract revenue, gross profit, EBITDA, EBIT, net income, CapEx, D&amp;A, and net working capital for fiscal years [Y-4] through [Y] as a CSV. Cite the page number for each figure."</t>
  </si>
  <si>
    <t>Step C</t>
  </si>
  <si>
    <t>Open 📈 Historicals. Paste the CSV. Spot-check 3 numbers against the 10-K to verify accuracy.</t>
  </si>
  <si>
    <t>Step D</t>
  </si>
  <si>
    <t>Prompt the AI: "Based on the historicals, compute revenue CAGR, gross margin trend, EBITDA margin trend, CapEx as % of revenue, and NWC as % of revenue."</t>
  </si>
  <si>
    <t>Step E</t>
  </si>
  <si>
    <t>Use those ratios as the starting point for your Base case on ⚙️ Assumptions. Adjust based on management guidance, industry outlook, and your own view.</t>
  </si>
  <si>
    <t>Step F</t>
  </si>
  <si>
    <t>Have the AI draft cell notes documenting the source for each input. Paste them in (Right-click → New Note).</t>
  </si>
  <si>
    <t>Step G</t>
  </si>
  <si>
    <t>When the model is done, ask the AI: "Here's my output: Base $X, Bear $Y, Bull $Z. The stock trades at $P. Does this make sense? What am I missing?" Use it as a peer-review checklist, not as a final answer.</t>
  </si>
  <si>
    <t>COMMON MISTAKES  —  AND HOW TO AVOID THEM</t>
  </si>
  <si>
    <t>1.  Hardcoding over formulas.  If you don't like a result, change the upstream input on ⚙️ Assumptions. Never paste a number over a formula — it breaks the audit trail and the scenario logic.</t>
  </si>
  <si>
    <t>2.  Mixing currencies.  Build the entire model in the company's reporting currency. Convert FX only at the very end if you want to show value in another currency.</t>
  </si>
  <si>
    <t>3.  Forgetting fiscal vs. calendar year.  Apple's FY24 ended September 2024. Don't compare to a peer's FY24 that ended December 2024 without adjustment.</t>
  </si>
  <si>
    <t>4.  Terminal growth rate &gt; risk-free rate.  Long-run growth can't exceed the long-run rate of the economy. The model has a built-in check; if it flags, lower your TGR.</t>
  </si>
  <si>
    <t>5.  Implausibly high ROIC in perpetuity.  If your terminal ROIC is 50% and industry average is 15%, you're assuming the company sustains a competitive moat forever. Defend it or lower it.</t>
  </si>
  <si>
    <t>6.  Bear case that's just slightly worse than Base.  Bear should hurt. If your Bear intrinsic is within 10% of Base, you haven't stress-tested anything.</t>
  </si>
  <si>
    <t>7.  Probability weights that aren't yours.  Don't anchor to 50/25/25 just because it's symmetric. Your weights should reflect your actual conviction.</t>
  </si>
  <si>
    <t>WHEN YOU'RE DONE</t>
  </si>
  <si>
    <t>A finished model has:  (a) all sanity-check cells green on the Dashboard,  (b) every blue input has a cell note citing its source,  (c) the implied upside/downside vs current price is something you can defend in one sentence,  (d) you can explain in plain English why Bull is Bull and Bear is Bear without reading off the spreadsheet.</t>
  </si>
  <si>
    <t>QUESTIONS?  Open 📝 Student Checklist — every input explained with the WHY, the HOW TO THINK, and the WATCH OUT FOR.</t>
  </si>
  <si>
    <t>📝  STUDENT CHECKLIST + Instructions  —  DCF INPUTS, SOURCES &amp; WORKFLOW</t>
  </si>
  <si>
    <t>📚  DATA SOURCES — QUICK REFERENCE</t>
  </si>
  <si>
    <t>Step-by-step guide for analysts new to DCF modeling. Work through sections 1–10 in order. Every input ties to a cell in ⚙️ Assumptions or 📋 WACC Builder.  Make a copy if using.  Verify Why/Think/Watch in each section.</t>
  </si>
  <si>
    <t>Where to pull each input. Free sources first.</t>
  </si>
  <si>
    <t>SOURCE</t>
  </si>
  <si>
    <t>BEST FOR</t>
  </si>
  <si>
    <t>ACCESS</t>
  </si>
  <si>
    <t>INPUT</t>
  </si>
  <si>
    <t>MODEL CELL</t>
  </si>
  <si>
    <t>PRIMARY SOURCE</t>
  </si>
  <si>
    <t>BACKUP / CROSS-CHECK</t>
  </si>
  <si>
    <t>WHAT TO LOOK FOR / TIPS</t>
  </si>
  <si>
    <t>✓</t>
  </si>
  <si>
    <t>SEC EDGAR</t>
  </si>
  <si>
    <t>10-K, 10-Q, proxy filings — primary source for every US-listed company</t>
  </si>
  <si>
    <t>Free — sec.gov</t>
  </si>
  <si>
    <t>Yahoo Finance</t>
  </si>
  <si>
    <t>Share price, basic financials, market cap, beta (5Y monthly)</t>
  </si>
  <si>
    <t>Free — finance.yahoo.com</t>
  </si>
  <si>
    <t>📖  HOW TO READ THIS MODEL  —  Cell Color Coding &amp; Sheet Linkage</t>
  </si>
  <si>
    <t>CELL COLOR CODE  (applies to every value cell across all model tabs)</t>
  </si>
  <si>
    <t>Hardcoded INPUT — a number you typed in. Students change these for scenarios. Most live on ⚙️ Assumptions, column C (Base) / D (Bear) / E (Bull).</t>
  </si>
  <si>
    <t>FORMULA / calculation. Do NOT overwrite. If you need a different result, change the upstream input — not the formula.</t>
  </si>
  <si>
    <t>CROSS-SHEET LINK. Pulls a value from another tab (e.g., 📋 WACC Builder pulling from ⚙️ Assumptions). Trace with Ctrl+[ to jump to source.</t>
  </si>
  <si>
    <t>EXTERNAL FILE LINK. Rare in this model. Flag if you see one — it will break when the file is moved or shared.</t>
  </si>
  <si>
    <t>KEY ASSUMPTION needing attention OR a CHECK cell (e.g., probability sum, WACC tie-out). Yellow = look here first.</t>
  </si>
  <si>
    <t>SHEET LINKAGE FLOW  (data flows left → right; never edit downstream sheets directly)</t>
  </si>
  <si>
    <t>⚙️ ASSUMPTIONS</t>
  </si>
  <si>
    <t>→</t>
  </si>
  <si>
    <t>SINGLE SOURCE OF TRUTH. Every input lives here. 3 columns: Base / Bear / Bull case. This is the ONLY tab students should edit.</t>
  </si>
  <si>
    <t>📋 WACC BUILDER</t>
  </si>
  <si>
    <t>← reads from Assumptions</t>
  </si>
  <si>
    <t>Builds Cost of Equity (CAPM) and Cost of Debt step-by-step. Cell C48 cross-checks built-up WACC vs. Assumptions — should equal 0.00%.</t>
  </si>
  <si>
    <t>🏦 CAP STRUCTURE</t>
  </si>
  <si>
    <t>Debt tranche schedule → weighted-avg cost of debt. Diluted share waterfall. Cross-checks Market Cap and Enterprise Value vs. DCF output.</t>
  </si>
  <si>
    <t>📈 HISTORICALS</t>
  </si>
  <si>
    <t>← standalone (manual entry)</t>
  </si>
  <si>
    <t>5 years of IS + CF + FCF. Feeds your judgment on growth/margin assumptions — read this BEFORE filling in Assumptions.</t>
  </si>
  <si>
    <t>🔢 DCF ENGINE</t>
  </si>
  <si>
    <t>← reads from Assumptions + WACC</t>
  </si>
  <si>
    <t>10-year projection + Terminal Value + discount to PV. Outputs Enterprise Value and Equity Value per share.</t>
  </si>
  <si>
    <t>📉 SENSITIVITY</t>
  </si>
  <si>
    <t>← reads from DCF Engine</t>
  </si>
  <si>
    <t>WACC × g and WACC × Terminal Margin grids. Don't edit — it re-computes from DCF Engine output.</t>
  </si>
  <si>
    <t>SECTION 1  —  COMPANY INFORMATION &amp; ORIENTATION</t>
  </si>
  <si>
    <t>💡 WHY</t>
  </si>
  <si>
    <t>Orientation. Before touching numbers, anchor the model to a specific entity, currency, and date. Sloppy orientation is the #1 source of audit issues — wrong ticker, wrong fiscal year, mismatched FX.</t>
  </si>
  <si>
    <t>🧭 THINK</t>
  </si>
  <si>
    <t>Ask: "What exactly am I valuing, in what currency, as of what date?" Pin the valuation date first — every other input (price, rates, balance sheet) flows from that timestamp.</t>
  </si>
  <si>
    <t>⚠️ WATCH</t>
  </si>
  <si>
    <t>Mixing fiscal-year and calendar-year conventions. Using marketing name vs. legal entity. Forgetting that ADR financials may be reported in foreign currency.</t>
  </si>
  <si>
    <t>Morningstar</t>
  </si>
  <si>
    <t>10-year financial history, equity research, fair-value estimates</t>
  </si>
  <si>
    <t>Access through Purdue Libraries</t>
  </si>
  <si>
    <t>Company Name</t>
  </si>
  <si>
    <t>Assumptions!C8</t>
  </si>
  <si>
    <t>Company 10-K cover page (SEC EDGAR)</t>
  </si>
  <si>
    <t>Capital IQ / Bloomberg DES screen</t>
  </si>
  <si>
    <t>Use the legal entity name as filed, not marketing name (e.g., 'Alphabet Inc.' not 'Google').</t>
  </si>
  <si>
    <t>Capital IQ (S&amp;P)</t>
  </si>
  <si>
    <t>Standardized financials, screens, comp sets, transaction data, consensus estimates</t>
  </si>
  <si>
    <t>Access through Purdue Libraries (May have to create account)</t>
  </si>
  <si>
    <t>Ticker / Exchange</t>
  </si>
  <si>
    <t>Assumptions!C9</t>
  </si>
  <si>
    <t>Yahoo Finance / Google Finance</t>
  </si>
  <si>
    <t>Bloomberg ticker (e.g., 'AAPL US')</t>
  </si>
  <si>
    <t>Confirm primary listing exchange — ADRs vs. local listing matter for FX and beta.</t>
  </si>
  <si>
    <t>Bloomberg Terminal</t>
  </si>
  <si>
    <t>Real-time prices, betas, bond YTMs, consensus, every financial field imaginable</t>
  </si>
  <si>
    <t>Use Krannert Library as needed</t>
  </si>
  <si>
    <t>Industry / Sector (GICS)</t>
  </si>
  <si>
    <t>Assumptions!C10</t>
  </si>
  <si>
    <t>Capital IQ company profile</t>
  </si>
  <si>
    <t>Damodaran industry classifications</t>
  </si>
  <si>
    <t>Match to Damodaran's industry list — you'll need this for industry beta and ERP.</t>
  </si>
  <si>
    <t>LSEG Workspace (Refinitiv)</t>
  </si>
  <si>
    <t>Bloomberg alternative — prices, fundamentals, I/B/E/S estimates, literally everything</t>
  </si>
  <si>
    <t>Free through Purdue Libraries (Request an account and utilize desktop app)</t>
  </si>
  <si>
    <t>Reporting Currency</t>
  </si>
  <si>
    <t>Assumptions!C11</t>
  </si>
  <si>
    <t>10-K / 20-F first page</t>
  </si>
  <si>
    <t>Annual report (Google or SEC)</t>
  </si>
  <si>
    <t>DCF must be built in reporting currency. Convert FX at valuation date only at the end.</t>
  </si>
  <si>
    <t>Damodaran Online</t>
  </si>
  <si>
    <t>ERP, industry betas, sector margins/CapEx/ROIC, country risk premiums</t>
  </si>
  <si>
    <t>Free — pages.stern.nyu.edu/~adamodar</t>
  </si>
  <si>
    <t>Valuation Date</t>
  </si>
  <si>
    <t>Assumptions!C12</t>
  </si>
  <si>
    <t>Analyst choice — today or deal date</t>
  </si>
  <si>
    <t>—</t>
  </si>
  <si>
    <t>Anchors share price, risk-free rate, and net debt. Lock and disclose it.</t>
  </si>
  <si>
    <t>FRED (St. Louis Fed)</t>
  </si>
  <si>
    <t>Risk-free rate (DGS10), inflation breakevens, macro data</t>
  </si>
  <si>
    <t>Free — fred.stlouisfed.org</t>
  </si>
  <si>
    <t>IMF WEO / OECD</t>
  </si>
  <si>
    <t>Long-run GDP forecasts for terminal growth rate</t>
  </si>
  <si>
    <t>Free - Just google it</t>
  </si>
  <si>
    <t>SECTION 2  —  MARKET DATA  (share price, shares, market cap)</t>
  </si>
  <si>
    <t>The equity bridge ends with shares outstanding — get this wrong and your per-share value is wrong by the same percentage. Market cap also drives WACC weights, so an error here cascades.</t>
  </si>
  <si>
    <t>Diluted share count = Basic + ITM options + unvested RSUs − Treasury Stock Method buyback. The TSM assumes the company uses option proceeds to buy back shares at the current price, so only the NET dilution counts.</t>
  </si>
  <si>
    <t>Using weighted-average shares from the income statement instead of period-end. Including out-of-the-money options (TSM should exclude them). Forgetting convertible bond dilution if-converted.</t>
  </si>
  <si>
    <t>Current Share Price</t>
  </si>
  <si>
    <t>Assumptions!C16</t>
  </si>
  <si>
    <t>Yahoo Finance (close on valuation date)</t>
  </si>
  <si>
    <t>LSEG/Refinitiv, Bloomberg PX_LAST</t>
  </si>
  <si>
    <t>Use the close on the valuation date — not intraday. For private cos, use last round.</t>
  </si>
  <si>
    <t>52-Week High / Low</t>
  </si>
  <si>
    <t>Assumptions!C17:C18</t>
  </si>
  <si>
    <t>Yahoo Finance summary tab</t>
  </si>
  <si>
    <t>LSEG, Morningstar quote page</t>
  </si>
  <si>
    <t>Context only — helps you sanity-check whether today's price is at peak or trough.</t>
  </si>
  <si>
    <t>Basic Shares Outstanding</t>
  </si>
  <si>
    <t>Assumptions!C19</t>
  </si>
  <si>
    <t>Latest 10-Q / 10-K cover page</t>
  </si>
  <si>
    <t>Capital IQ 'Shares Outstanding'</t>
  </si>
  <si>
    <t>Use the COVER PAGE number (most recent), NOT the weighted average from the income statement.</t>
  </si>
  <si>
    <t>Options + RSUs Outstanding (ITM)</t>
  </si>
  <si>
    <t>Assumptions!C20</t>
  </si>
  <si>
    <t>10-K Stock-Based Comp footnote</t>
  </si>
  <si>
    <t>Proxy statement (DEF 14A)</t>
  </si>
  <si>
    <t>Count only IN-THE-MONEY options (strike &lt; current price). Include unvested RSUs at face.</t>
  </si>
  <si>
    <t>Treasury Shares from Proceeds</t>
  </si>
  <si>
    <t>Assumptions!C21</t>
  </si>
  <si>
    <t>Calculated via Treasury Stock Method</t>
  </si>
  <si>
    <t>TSM: (Options × weighted avg strike) ÷ current price. The model assumes proceeds buy back shares.</t>
  </si>
  <si>
    <t>Diluted Shares (calculated)</t>
  </si>
  <si>
    <t>Assumptions!C22</t>
  </si>
  <si>
    <t>Formula: Basic + Options − Treasury</t>
  </si>
  <si>
    <t>Cross-check vs. 10-K diluted EPS denominator</t>
  </si>
  <si>
    <t>If your number is materially different, recheck options data.</t>
  </si>
  <si>
    <t>Market Cap (calculated)</t>
  </si>
  <si>
    <t>Assumptions!C23</t>
  </si>
  <si>
    <t>Formula: Diluted Shares × Price</t>
  </si>
  <si>
    <t>Yahoo / Capital IQ market cap</t>
  </si>
  <si>
    <t>Should tie within ~1% of Yahoo's market cap. Big gaps usually mean wrong share count.</t>
  </si>
  <si>
    <t>SECTION 3  —  HISTORICAL FINANCIALS  (build before forecasting)</t>
  </si>
  <si>
    <t>Forecasts are anchored in history. Five years gives you a cycle to see margin pressure, working-capital intensity, and CapEx patterns. If you can't explain the historical trend, you can't credibly forecast it.</t>
  </si>
  <si>
    <t>Read the MD&amp;A first — management tells you what drove each year. Then build the IS and CF in standardized form. Calculate % of revenue for every line. Look for trends, inflection points, and one-time items to normalize.</t>
  </si>
  <si>
    <t>Not normalizing for restructuring charges, litigation, or COVID. Using IS D&amp;A (often missing the COGS portion) instead of CF D&amp;A. Treating SBC as 'non-cash' add-back — it's a real economic cost (Damodaran).</t>
  </si>
  <si>
    <t>5 Years Revenue + LTM</t>
  </si>
  <si>
    <t>Historicals!C7:G7</t>
  </si>
  <si>
    <t>10-K income statements (5 years) + latest 10-Q for LTM</t>
  </si>
  <si>
    <t>Capital IQ historical financials</t>
  </si>
  <si>
    <t>LTM = last 4 quarters. Pull from MD&amp;A or build: FY + latest YTD − prior-year YTD.</t>
  </si>
  <si>
    <t>Gross Profit / COGS</t>
  </si>
  <si>
    <t>Historicals!C9:G9</t>
  </si>
  <si>
    <t>10-K income statement</t>
  </si>
  <si>
    <t>Capital IQ 'Standardized' view</t>
  </si>
  <si>
    <t>Watch for reclassifications between COGS and OpEx across years — restate if material.</t>
  </si>
  <si>
    <t>Operating Expenses (SG&amp;A, R&amp;D)</t>
  </si>
  <si>
    <t>Historicals!C11:G11</t>
  </si>
  <si>
    <t>Bloomberg FA function</t>
  </si>
  <si>
    <t>Separate R&amp;D from SG&amp;A if you'll capitalize R&amp;D later (Damodaran adjustment).</t>
  </si>
  <si>
    <t>D&amp;A</t>
  </si>
  <si>
    <t>Historicals!C14:G14</t>
  </si>
  <si>
    <t>Cash flow statement (top of CFO section)</t>
  </si>
  <si>
    <t>10-K depreciation footnote</t>
  </si>
  <si>
    <t>Use the CASH FLOW STATEMENT number — it includes D&amp;A inside COGS, which the IS hides.</t>
  </si>
  <si>
    <t>Interest Expense</t>
  </si>
  <si>
    <t>Historicals!C17:G17</t>
  </si>
  <si>
    <t>Debt footnote</t>
  </si>
  <si>
    <t>Use net interest expense (gross interest − interest income) for cleanest EBT bridge.</t>
  </si>
  <si>
    <t>Stock-Based Compensation</t>
  </si>
  <si>
    <t>Historicals!C28:G28</t>
  </si>
  <si>
    <t>Cash flow statement (add-back line)</t>
  </si>
  <si>
    <t>10-K SBC footnote</t>
  </si>
  <si>
    <t>Damodaran: treat SBC as a REAL expense — don't blindly add back to FCF.</t>
  </si>
  <si>
    <t>Change in NWC</t>
  </si>
  <si>
    <t>Historicals!C29:G29</t>
  </si>
  <si>
    <t>Cash flow statement (working capital section)</t>
  </si>
  <si>
    <t>Calculate: ΔAR + ΔInv − ΔAP</t>
  </si>
  <si>
    <t>Exclude cash, short-term debt, and one-time items from NWC. Operating NWC only.</t>
  </si>
  <si>
    <t>Capital Expenditures</t>
  </si>
  <si>
    <t>Historicals!C31:G31</t>
  </si>
  <si>
    <t>Cash flow statement (investing section)</t>
  </si>
  <si>
    <t>10-K PP&amp;E footnote</t>
  </si>
  <si>
    <t>Use gross CapEx, not net of disposals. Separate maintenance vs. growth if disclosed.</t>
  </si>
  <si>
    <t>SECTION 4  —  REVENUE FORECAST  (3 phases over 10 years)</t>
  </si>
  <si>
    <t>Revenue is the top of the funnel — every downstream line scales off it. The 3-phase structure (high growth → fade → mature) is industry standard because no company grows above GDP forever.</t>
  </si>
  <si>
    <t>Phase 1: lean on consensus and mgmt guidance — analysts dig into segments. Phase 2: think competitive dynamics — does the moat hold, does TAM saturate? Phase 3: must converge to GDP. The CURVE between phases is your story/pitch.</t>
  </si>
  <si>
    <t>Terminal growth &gt; nominal GDP (mathematically the company eventually owns the economy). Hockey-stick Phase 1 with no operational justification. Same growth rate every year — implies no competitive response.</t>
  </si>
  <si>
    <t>Base Year Revenue (LTM)</t>
  </si>
  <si>
    <t>Assumptions!C26</t>
  </si>
  <si>
    <t>Historicals!G7 (LTM)</t>
  </si>
  <si>
    <t>Sell-side consensus FY1</t>
  </si>
  <si>
    <t>Anchor for projections. Should equal Historicals LTM exactly — no rounding.</t>
  </si>
  <si>
    <t>Phase 1 Growth (Yr 1–3)</t>
  </si>
  <si>
    <t>Assumptions!C27:E27</t>
  </si>
  <si>
    <t>Sell-side consensus (Visible Alpha, Capital IQ)</t>
  </si>
  <si>
    <t>Mgmt guidance, historical trend, IBISWorld</t>
  </si>
  <si>
    <t>Near-term — lean on consensus. Bear/Bull: ± 1 std dev from analyst dispersion.</t>
  </si>
  <si>
    <t>Phase 2 Growth (Yr 4–7)</t>
  </si>
  <si>
    <t>Assumptions!C28:E28</t>
  </si>
  <si>
    <t>Damodaran sector growth tables</t>
  </si>
  <si>
    <t>Industry reports (Gartner, IDC, IBISWorld)</t>
  </si>
  <si>
    <t>Transition phase — growth fades toward GDP. Sanity check: ~halfway between Phase 1 and Phase 3.</t>
  </si>
  <si>
    <t>Phase 3 Growth (Yr 8–10)</t>
  </si>
  <si>
    <t>Assumptions!C29:E29</t>
  </si>
  <si>
    <t>Long-run nominal GDP (IMF WEO)</t>
  </si>
  <si>
    <t>OECD long-term GDP projections</t>
  </si>
  <si>
    <t>Mature phase — MUST be ≤ long-run nominal GDP (~3–4% US). Higher = mathematically impossible.</t>
  </si>
  <si>
    <t>SECTION 5  —  MARGIN &amp; PROFITABILITY ASSUMPTIONS</t>
  </si>
  <si>
    <t>Margins translate revenue into cash flow. Terminal EBITDA margin is the SECOND-biggest driver of value (after WACC and g). Small changes here move valuation 10–20%.</t>
  </si>
  <si>
    <t>Margins should reflect competitive equilibrium long-term. Ask: who else can do this? If margins stay above peers forever, you're assuming a permanent moat — justify it. Watch operating leverage as revenue scales.</t>
  </si>
  <si>
    <t>Holding peak margins forever. Using effective tax rate in terminal year (should be marginal). Adding back SBC without thinking — it dilutes shareholders even if it's non-cash. Ignoring NOLs when they exist.</t>
  </si>
  <si>
    <t>Gross Margin path (Yr 1, 5, 10)</t>
  </si>
  <si>
    <t>Assumptions!C34:E36</t>
  </si>
  <si>
    <t>Historicals!C10:G10 + comp set</t>
  </si>
  <si>
    <t>Capital IQ comps median GM</t>
  </si>
  <si>
    <t>Yr 10 GM should approach industry-leader margin, not exceed it. Justify any expansion.</t>
  </si>
  <si>
    <t>EBITDA Margin path</t>
  </si>
  <si>
    <t>Assumptions!C37:E39</t>
  </si>
  <si>
    <t>Historicals + comp set EBITDA margins</t>
  </si>
  <si>
    <t>Damodaran 'Margins by Sector'</t>
  </si>
  <si>
    <t>Steady-state EBITDA margin is the single biggest TV driver — stress this in sensitivity.</t>
  </si>
  <si>
    <t>D&amp;A as % of Revenue</t>
  </si>
  <si>
    <t>Assumptions!C40</t>
  </si>
  <si>
    <t>Historical avg from Hist!C14:G14 ÷ C7:G7</t>
  </si>
  <si>
    <t>10-K PP&amp;E schedule</t>
  </si>
  <si>
    <t>Should converge to CapEx % in terminal year (steady state).</t>
  </si>
  <si>
    <t>Stock-Based Comp % of Revenue</t>
  </si>
  <si>
    <t>Assumptions!C41</t>
  </si>
  <si>
    <t>Historical avg (Hist!C28:G28 ÷ C7:G7)</t>
  </si>
  <si>
    <t>Peer SBC %</t>
  </si>
  <si>
    <t>Tech: 5–15% typical. Industrials: &lt;1%. Should decline as company matures.</t>
  </si>
  <si>
    <t>Effective Tax Rate</t>
  </si>
  <si>
    <t>Assumptions!C43</t>
  </si>
  <si>
    <t>10-K tax rate reconciliation footnote</t>
  </si>
  <si>
    <t>Damodaran 'Effective Tax Rates by Country'</t>
  </si>
  <si>
    <t>Use MARGINAL rate for terminal value (21% US fed + state). Effective rate for near-term only.</t>
  </si>
  <si>
    <t>NOL Benefit (Yr 1–3)</t>
  </si>
  <si>
    <t>Assumptions!C44</t>
  </si>
  <si>
    <t>10-K deferred tax / NOL footnote</t>
  </si>
  <si>
    <t>Only if company has NOL carryforwards. Reduces cash taxes in early years.</t>
  </si>
  <si>
    <t>SECTION 6  —  REINVESTMENT  (CapEx, NWC, M&amp;A)</t>
  </si>
  <si>
    <t>Reinvestment is the bridge from EBITDA to FCF. Growth requires investment — you can't assume revenue growth without funding the CapEx and NWC needed to deliver it. This is where 'growth at any cost' models fall apart.</t>
  </si>
  <si>
    <t>Reinvestment Rate = (CapEx − D&amp;A + ΔNWC) / NOPAT. In terminal year, this should equal g / ROIC (Damodaran identity). If your CapEx assumption violates that identity, your terminal value is internally inconsistent.</t>
  </si>
  <si>
    <t>Terminal CapEx &lt; D&amp;A (means the asset base shrinks — incompatible with growth). Ignoring M&amp;A even when history shows the company grows by acquisition. Forgetting that ΔNWC scales with REVENUE GROWTH, not revenue level.</t>
  </si>
  <si>
    <t>CapEx % Rev — 3 phases</t>
  </si>
  <si>
    <t>Assumptions!C47:E49</t>
  </si>
  <si>
    <t>Historical avg + mgmt CapEx guidance</t>
  </si>
  <si>
    <t>Damodaran sector CapEx tables</t>
  </si>
  <si>
    <t>Terminal CapEx ≈ D&amp;A (maintenance only). Growth phase higher.</t>
  </si>
  <si>
    <t>ΔNWC % of ΔRevenue</t>
  </si>
  <si>
    <t>Assumptions!C50</t>
  </si>
  <si>
    <t>Historical avg ΔNWC / ΔRev</t>
  </si>
  <si>
    <t>Sector working capital intensity (Damodaran)</t>
  </si>
  <si>
    <t>Typically 5–15% for product cos, ~0% for asset-light services.</t>
  </si>
  <si>
    <t>NWC Base (Year 0)</t>
  </si>
  <si>
    <t>Assumptions!C51</t>
  </si>
  <si>
    <t>Latest balance sheet: AR + Inv − AP</t>
  </si>
  <si>
    <t>Capital IQ working capital data</t>
  </si>
  <si>
    <t>Operating NWC only. Exclude cash, debt, accrued interest, restructuring.</t>
  </si>
  <si>
    <t>M&amp;A Spend % Rev</t>
  </si>
  <si>
    <t>Assumptions!C52</t>
  </si>
  <si>
    <t>Historical 5-yr avg acquisition spend</t>
  </si>
  <si>
    <t>Mgmt capital allocation guidance</t>
  </si>
  <si>
    <t>Tuck-in M&amp;A only. Large deals should be modeled discretely.</t>
  </si>
  <si>
    <t>R&amp;D Capitalization Rate</t>
  </si>
  <si>
    <t>Assumptions!C53</t>
  </si>
  <si>
    <t>Damodaran R&amp;D capitalization guide</t>
  </si>
  <si>
    <t>Industry useful life of R&amp;D</t>
  </si>
  <si>
    <t>Software: 3–5 yr life. Pharma: 10–15 yr. Skip if you're not adjusting for R&amp;D.</t>
  </si>
  <si>
    <t>SECTION 7  —  WACC INPUTS  (build on 📋 WACC Builder, link to Assumptions)</t>
  </si>
  <si>
    <t>WACC is the discount rate that translates future cash flows into present value. A 50bps change in WACC moves valuation by 10–15%. This is the single most-debated input in any DCF.</t>
  </si>
  <si>
    <t>Ke = Rf + β·ERP + premiums (CAPM). Kd = YTM × (1−t). Weight by MARKET values, not book. The WACC Builder tab walks through this step-by-step with cross-checks. For private cos: synthetic rating + industry beta re-levered.</t>
  </si>
  <si>
    <t>Using book-value weights instead of market. Using historical ERP (~6%) instead of forward-looking implied (~4.5–5%). Using coupon rate instead of YTM for Kd. Forgetting to re-lever beta when capital structure differs from peers.</t>
  </si>
  <si>
    <t>Risk-Free Rate</t>
  </si>
  <si>
    <t>Assumptions!C56 / WACC!C7</t>
  </si>
  <si>
    <t>US Treasury 10Y yield (treasury.gov, FRED 'DGS10')</t>
  </si>
  <si>
    <t>Bloomberg USGG10YR, LSEG</t>
  </si>
  <si>
    <t>Match TENOR to your forecast horizon. 10Y for 10-year DCF. Pull on valuation date.</t>
  </si>
  <si>
    <t>Equity Risk Premium</t>
  </si>
  <si>
    <t>Assumptions!C57 / WACC!C13</t>
  </si>
  <si>
    <t>Damodaran implied ERP (pages.stern.nyu.edu/~adamodar)</t>
  </si>
  <si>
    <t>Duff &amp; Phelps / Kroll annual ERP</t>
  </si>
  <si>
    <t>Use IMPLIED ERP (forward-looking, ~4.5–6%), not historical (overstated).</t>
  </si>
  <si>
    <t>Beta (Levered)</t>
  </si>
  <si>
    <t>Assumptions!C58 / WACC!C23</t>
  </si>
  <si>
    <t>Bloomberg adjusted beta (2Y weekly vs S&amp;P 500)</t>
  </si>
  <si>
    <t>Damodaran industry beta (Hamada re-levered)</t>
  </si>
  <si>
    <t>For small/illiquid cos, use industry beta re-levered to target D/E (more stable than regression).</t>
  </si>
  <si>
    <t>Small Company Premium</t>
  </si>
  <si>
    <t>Assumptions!C59</t>
  </si>
  <si>
    <t>Duff &amp; Phelps / Kroll Size Premium Study</t>
  </si>
  <si>
    <t>Only for sub-$2B market cap. Zero for large caps. Range: 0–3%.</t>
  </si>
  <si>
    <t>Specific Company Risk Premium</t>
  </si>
  <si>
    <t>Assumptions!C60</t>
  </si>
  <si>
    <t>Analyst judgment — document rationale</t>
  </si>
  <si>
    <t>Use sparingly. Examples: customer concentration, litigation, regulatory overhang. 0–3%.</t>
  </si>
  <si>
    <t>Pre-Tax Cost of Debt</t>
  </si>
  <si>
    <t>Assumptions!C62 / WACC!C34</t>
  </si>
  <si>
    <t>Weighted-avg YTM across debt tranches (Cap Structure)</t>
  </si>
  <si>
    <t>Bloomberg bond YTM; synthetic rating (Damodaran)</t>
  </si>
  <si>
    <t>Use current YTM, not coupon. For private cos: estimate rating from interest coverage, then map to spread.</t>
  </si>
  <si>
    <t>Capital Structure Weights</t>
  </si>
  <si>
    <t>Assumptions!C64:C65</t>
  </si>
  <si>
    <t>MARKET value weights: MV equity / (MV equity + MV debt)</t>
  </si>
  <si>
    <t>Damodaran 'Optimal Capital Structure' if targeting</t>
  </si>
  <si>
    <t>Mature: use current capital structure. Levered acquirer: use TARGET capital structure.</t>
  </si>
  <si>
    <t>SECTION 8  —  TERMINAL VALUE ASSUMPTIONS</t>
  </si>
  <si>
    <t>Terminal value is typically 60–80% of total enterprise value. You're forecasting 10 explicit years, but the TV captures everything from Year 11 to infinity. Tiny TV inputs swing valuation more than entire forecast years.</t>
  </si>
  <si>
    <t>Two methods: (1) Gordon Growth: TV = FCF₁₁ / (WACC − g) — academically pure but g is sensitive. (2) Exit Multiple: TV = EBITDA₁₀ × multiple — market-grounded but circular if the multiple is itself a DCF output. Triangulate both.</t>
  </si>
  <si>
    <t>g &gt; Rf (implies the company grows faster than the economy forever). TV ROIC &gt; WACC by huge margin without justification. Using current trading multiple as exit multiple (assumes no fade to maturity).</t>
  </si>
  <si>
    <t>Terminal Growth Rate (g)</t>
  </si>
  <si>
    <t>Assumptions!C69</t>
  </si>
  <si>
    <t>IMF / World Bank long-run GDP forecast</t>
  </si>
  <si>
    <t>Damodaran 'g should not exceed Rf' rule</t>
  </si>
  <si>
    <t>MUST be ≤ risk-free rate (proxy for long-run nominal GDP). 2.0–3.0% typical US.</t>
  </si>
  <si>
    <t>Terminal EBITDA Margin</t>
  </si>
  <si>
    <t>Assumptions!C70</t>
  </si>
  <si>
    <t>Mature industry leader margins (Damodaran sector)</t>
  </si>
  <si>
    <t>Capital IQ peer steady-state margins</t>
  </si>
  <si>
    <t>Should reflect competitive equilibrium. Don't assume best-in-class forever.</t>
  </si>
  <si>
    <t>Terminal ROIC</t>
  </si>
  <si>
    <t>Assumptions!C72</t>
  </si>
  <si>
    <t>Damodaran 'Return on Invested Capital by Industry'</t>
  </si>
  <si>
    <t>Peer ROIC (Capital IQ)</t>
  </si>
  <si>
    <t>Must be &gt; WACC for value creation. In TV, reinvestment rate = g / ROIC.</t>
  </si>
  <si>
    <t>TV Method (Gordon vs Exit)</t>
  </si>
  <si>
    <t>Assumptions!C73</t>
  </si>
  <si>
    <t>Best practice: run BOTH and triangulate</t>
  </si>
  <si>
    <t>Gordon Growth = academically pure. Exit Multiple = sanity check via comps.</t>
  </si>
  <si>
    <t>EV/EBITDA Exit Multiple</t>
  </si>
  <si>
    <t>Assumptions!C74</t>
  </si>
  <si>
    <t>Trading comps median multiple (Capital IQ comp set)</t>
  </si>
  <si>
    <t>Precedent transactions</t>
  </si>
  <si>
    <t>Apply to terminal year EBITDA. Cross-check: implied g from Gordon should be reasonable.</t>
  </si>
  <si>
    <t>SECTION 9  —  EQUITY BRIDGE  (Balance Sheet adjustments, EV → Equity Value)</t>
  </si>
  <si>
    <t>The DCF gives you enterprise value — the value of the operating business. The equity bridge translates EV into equity value (what shareholders own) by adding non-operating assets and subtracting non-equity claims.</t>
  </si>
  <si>
    <t>Equity Value = EV + Cash + ST Investments + Equity Stakes − Debt − Pension − Operating Leases − Minority Interest − Deferred Tax. Then ÷ diluted shares = price per share. Use the MOST RECENT balance sheet, even if it's a 10-Q.</t>
  </si>
  <si>
    <t>Forgetting operating leases (post-ASC 842, they're on the balance sheet — treat as debt). Using book value for minority interest of a listed sub (use market). Double-counting equity stakes that already produce cash flows in the forecast.</t>
  </si>
  <si>
    <t>Cash &amp; Equivalents</t>
  </si>
  <si>
    <t>Assumptions!C77</t>
  </si>
  <si>
    <t>Latest 10-Q balance sheet (most recent quarter)</t>
  </si>
  <si>
    <t>Capital IQ 'Cash &amp; ST Investments'</t>
  </si>
  <si>
    <t>Use NEWEST available, even if interim. ADDED to EV to get equity value.</t>
  </si>
  <si>
    <t>Short-Term Investments</t>
  </si>
  <si>
    <t>Assumptions!C78</t>
  </si>
  <si>
    <t>Latest 10-Q balance sheet</t>
  </si>
  <si>
    <t>Footnote on marketable securities</t>
  </si>
  <si>
    <t>Liquid securities only. Exclude strategic equity stakes (separate line).</t>
  </si>
  <si>
    <t>Total Debt (Gross)</t>
  </si>
  <si>
    <t>Assumptions!C79</t>
  </si>
  <si>
    <t>Latest 10-Q + debt footnote</t>
  </si>
  <si>
    <t>Cap Structure tab (build from tranches)</t>
  </si>
  <si>
    <t>Include: bank debt, bonds, convertibles, finance leases, current portion of LT debt. SUBTRACTED from EV.</t>
  </si>
  <si>
    <t>Pension Underfunding</t>
  </si>
  <si>
    <t>Assumptions!C80</t>
  </si>
  <si>
    <t>10-K pension footnote (PBO − plan assets)</t>
  </si>
  <si>
    <t>After-tax basis. Treat as debt-like. Skip if fully funded or de minimis.</t>
  </si>
  <si>
    <t>Operating Lease Obligations</t>
  </si>
  <si>
    <t>Assumptions!C81</t>
  </si>
  <si>
    <t>10-K lease footnote (ASC 842 / IFRS 16)</t>
  </si>
  <si>
    <t>Balance sheet 'Operating lease liability'</t>
  </si>
  <si>
    <t>Use PV already on balance sheet under ASC 842. Older filings: PV the rent schedule at Kd.</t>
  </si>
  <si>
    <t>Minority Interest</t>
  </si>
  <si>
    <t>Assumptions!C82</t>
  </si>
  <si>
    <t>10-K balance sheet (noncontrolling interest)</t>
  </si>
  <si>
    <t>Capital IQ 'Minority Interest'</t>
  </si>
  <si>
    <t>Market value if sub is listed; otherwise book value. SUBTRACTED from EV.</t>
  </si>
  <si>
    <t>Equity Stakes / Investments</t>
  </si>
  <si>
    <t>Assumptions!C83</t>
  </si>
  <si>
    <t>10-K 'Equity method investments' footnote</t>
  </si>
  <si>
    <t>Mark to market if listed; otherwise book</t>
  </si>
  <si>
    <t>Non-operating assets. ADDED to EV. Don't double-count if already in cash flows.</t>
  </si>
  <si>
    <t>Deferred Tax Liability (net)</t>
  </si>
  <si>
    <t>Assumptions!C84</t>
  </si>
  <si>
    <t>10-K deferred tax footnote</t>
  </si>
  <si>
    <t>Net of DTA. SUBTRACTED. Discount if reversal is far in the future.</t>
  </si>
  <si>
    <t>Options Value (BSM)</t>
  </si>
  <si>
    <t>Assumptions!C85</t>
  </si>
  <si>
    <t>Black-Scholes on outstanding options</t>
  </si>
  <si>
    <t>10-K option footnote (FV disclosed)</t>
  </si>
  <si>
    <t>Alternative to Treasury Stock Method. Pick one approach — don't double-count.</t>
  </si>
  <si>
    <t>SECTION 10  —  SCENARIOS &amp; FINAL CHECKS</t>
  </si>
  <si>
    <t>A point-estimate DCF is false precision. Scenarios force you to define what HAS to be true for the stock to be cheap or expensive. Probability-weighting gives you an expected value, not a target.</t>
  </si>
  <si>
    <t>Bear/Base/Bull should be PLAUSIBLE futures, not just ± 20%. Each should have a clear narrative: "In Bear, competitor X wins on price; in Bull, the new product hits margin targets." Probabilities reflect your conviction in the base case.</t>
  </si>
  <si>
    <t>Bear and Bull that are just "flex every input the same direction" — real scenarios have offsetting effects. Probabilities that don't sum to 100%. No mid-year convention applied (understates value by ~5–7%).</t>
  </si>
  <si>
    <t>Scenario Probabilities</t>
  </si>
  <si>
    <t>Assumptions!C88:E88</t>
  </si>
  <si>
    <t>Analyst judgment</t>
  </si>
  <si>
    <t>Mgmt guidance ranges</t>
  </si>
  <si>
    <t>Must sum to 100% (check cell C89). Typical: Base 50–60%, Bull 20–25%, Bear 20–25%.</t>
  </si>
  <si>
    <t>Mid-Year Convention (Y/N)</t>
  </si>
  <si>
    <t>Assumptions!C90</t>
  </si>
  <si>
    <t>Convention choice</t>
  </si>
  <si>
    <t>Y = CFs arrive mid-year (more realistic). N = end-of-year. Y adds ~5–7% to value.</t>
  </si>
  <si>
    <t>Bull Case build</t>
  </si>
  <si>
    <t>Assumptions column E</t>
  </si>
  <si>
    <t>Sell-side high estimate, mgmt upside guidance</t>
  </si>
  <si>
    <t>Tighter margins, higher growth, lower WACC. Not 'everything goes right' — plausible upside.</t>
  </si>
  <si>
    <t>Bear Case build</t>
  </si>
  <si>
    <t>Assumptions column D</t>
  </si>
  <si>
    <t>Sell-side low estimate, mgmt downside scenarios</t>
  </si>
  <si>
    <t>Lower growth, margin compression, higher WACC. Stress competitive intensity and recession.</t>
  </si>
  <si>
    <t>FINAL SANITY CHECKS  —  run these before presenting the model</t>
  </si>
  <si>
    <t>□</t>
  </si>
  <si>
    <t>Terminal growth ≤ risk-free rate. If g &gt; Rf, you're implicitly forecasting the company to outgrow the economy forever — invalid.</t>
  </si>
  <si>
    <t>TV as % of EV is in 60–80% range. If TV &gt; 85%, your explicit forecast is too short or growth too high. If &lt;50%, extend horizon.</t>
  </si>
  <si>
    <t>Implied terminal ROIC &gt; WACC by a defensible margin (5–15%). If huge, you're assuming an unbreakable moat; if negative, no value creation.</t>
  </si>
  <si>
    <t>Reinvestment rate = g / ROIC in terminal year (Damodaran identity). The DCF Engine cross-checks this on row 83 — should be within ±2%.</t>
  </si>
  <si>
    <t>Probability weights sum to exactly 100% on Assumptions row 88. Check cell C89 should read 0.0%.</t>
  </si>
  <si>
    <t>Built-up WACC matches Assumptions WACC on the WACC Builder check cell. Should read 0.00%.</t>
  </si>
  <si>
    <t>Market Cap formula ties to Yahoo Finance within ~1%. If off by more, recheck options and diluted share calculation.</t>
  </si>
  <si>
    <t>Bear case is materially below Base (&gt;20% downside). If Bear is within 10% of Base, you haven't actually stress-tested anything.</t>
  </si>
  <si>
    <t>📊  DYNAMIC DCF VALUATION MODEL</t>
  </si>
  <si>
    <t>Damodaran-Style Multi-Scenario Intrinsic Value Framework</t>
  </si>
  <si>
    <t>COMPANY INFORMATION</t>
  </si>
  <si>
    <t>KEY MULTIPLES &amp; DRIVERS</t>
  </si>
  <si>
    <t>Base WACC</t>
  </si>
  <si>
    <t>Bear WACC</t>
  </si>
  <si>
    <t>Industry</t>
  </si>
  <si>
    <t>Bull WACC</t>
  </si>
  <si>
    <t>Currency</t>
  </si>
  <si>
    <t>Base Terminal Growth</t>
  </si>
  <si>
    <t>Analyst</t>
  </si>
  <si>
    <t>Base Diluted Shares (mm)</t>
  </si>
  <si>
    <t>VALUATION SUMMARY</t>
  </si>
  <si>
    <t>Active Scenario EV ($mm)</t>
  </si>
  <si>
    <t>Active Scenario (toggle on DCF Engine)</t>
  </si>
  <si>
    <t>Active Scenario Equity Value ($mm)</t>
  </si>
  <si>
    <t>Current Share Price ($)</t>
  </si>
  <si>
    <t>Active Scenario Intrinsic ($/sh)</t>
  </si>
  <si>
    <t>Active Scenario Implied EV/EBITDA</t>
  </si>
  <si>
    <t>BASE Intrinsic Value / Share ($)</t>
  </si>
  <si>
    <t>Active Scenario TV % of EV</t>
  </si>
  <si>
    <t>BEAR Intrinsic Value / Share ($)</t>
  </si>
  <si>
    <t>BULL Intrinsic Value / Share ($)</t>
  </si>
  <si>
    <t>SANITY CHECKS</t>
  </si>
  <si>
    <t>WACC Cross-check (Build − Input)</t>
  </si>
  <si>
    <t>Probability-Weighted Value / Share ($)</t>
  </si>
  <si>
    <t>TGR vs RFR</t>
  </si>
  <si>
    <t>Implied Upside / (Downside)</t>
  </si>
  <si>
    <t>Probability Sum (must = 100%)</t>
  </si>
  <si>
    <t>Terminal ROIC − WACC Spread</t>
  </si>
  <si>
    <t>FOOTBALL FIELD — VALUE PER SHARE</t>
  </si>
  <si>
    <t>Methodology</t>
  </si>
  <si>
    <t>Low ($)</t>
  </si>
  <si>
    <t>High ($)</t>
  </si>
  <si>
    <t>Midpoint ($)</t>
  </si>
  <si>
    <t>DCF — Bear Case</t>
  </si>
  <si>
    <t>DCF — Base Case</t>
  </si>
  <si>
    <t>DCF — Bull Case</t>
  </si>
  <si>
    <t>52-Week Trading Range</t>
  </si>
  <si>
    <t>Probability-Weighted Target</t>
  </si>
  <si>
    <t>Current Price (reference line)</t>
  </si>
  <si>
    <t>MODEL NAVIGATION</t>
  </si>
  <si>
    <t>All inputs: company, revenue, margins, WACC, equity bridge</t>
  </si>
  <si>
    <t>5-year IS, CF, FCF</t>
  </si>
  <si>
    <t>10-year FCFF projection with scenario toggle</t>
  </si>
  <si>
    <t>CAPM build with Hamada beta, cross-checks Assumptions</t>
  </si>
  <si>
    <t>Debt tranches, diluted share waterfall</t>
  </si>
  <si>
    <t>WACC × TGR  and  WACC × Exit Multiple grids</t>
  </si>
  <si>
    <t>[ Hidden compute block — all-scenario valuation ]</t>
  </si>
  <si>
    <t>Yr1</t>
  </si>
  <si>
    <t>Yr2</t>
  </si>
  <si>
    <t>Yr3</t>
  </si>
  <si>
    <t>Yr4</t>
  </si>
  <si>
    <t>Yr5</t>
  </si>
  <si>
    <t>Yr6</t>
  </si>
  <si>
    <t>Yr7</t>
  </si>
  <si>
    <t>Yr8</t>
  </si>
  <si>
    <t>Yr9</t>
  </si>
  <si>
    <t>Yr10</t>
  </si>
  <si>
    <t>TermYr</t>
  </si>
  <si>
    <t xml:space="preserve">  Base FCFF Yr1-10  (hidden compute)</t>
  </si>
  <si>
    <t xml:space="preserve">  Bear FCFF Yr1-10  (hidden compute)</t>
  </si>
  <si>
    <t xml:space="preserve">  Bull FCFF Yr1-10  (hidden compute)</t>
  </si>
  <si>
    <t xml:space="preserve">  Base Intrinsic Value / Share  (hidden compute → C17/C18/C19)</t>
  </si>
  <si>
    <t xml:space="preserve">  Bear Intrinsic Value / Share  (hidden compute → C17/C18/C19)</t>
  </si>
  <si>
    <t xml:space="preserve">  Bull Intrinsic Value / Share  (hidden compute → C17/C18/C19)</t>
  </si>
  <si>
    <t>⚙️  ASSUMPTIONS &amp; INPUTS</t>
  </si>
  <si>
    <t>Single source of truth — every downstream sheet links here</t>
  </si>
  <si>
    <t>ASSUMPTION</t>
  </si>
  <si>
    <t>BASE CASE</t>
  </si>
  <si>
    <t>BEAR CASE</t>
  </si>
  <si>
    <t>BULL CASE</t>
  </si>
  <si>
    <t>NOTES / SOURCE</t>
  </si>
  <si>
    <t>Amazon.com, Inc.</t>
  </si>
  <si>
    <t>AMZN US</t>
  </si>
  <si>
    <t>Internet Retail &amp; Cloud Computing</t>
  </si>
  <si>
    <t>Currency (mm)</t>
  </si>
  <si>
    <t>USD</t>
  </si>
  <si>
    <t>Ian Teh</t>
  </si>
  <si>
    <t>MARKET DATA</t>
  </si>
  <si>
    <t>Quote at valuation date</t>
  </si>
  <si>
    <t>52-Week High ($)</t>
  </si>
  <si>
    <t>52-Week Low ($)</t>
  </si>
  <si>
    <t>Basic Shares Outstanding (mm)</t>
  </si>
  <si>
    <t>Options + RSUs Outstanding (mm)</t>
  </si>
  <si>
    <t>In-the-money</t>
  </si>
  <si>
    <t>Treasury Shares from Proceeds (mm)</t>
  </si>
  <si>
    <t>Treasury stock method</t>
  </si>
  <si>
    <t>Diluted Share Count (mm)</t>
  </si>
  <si>
    <t>Market Capitalization ($mm)</t>
  </si>
  <si>
    <t>REVENUE ASSUMPTIONS</t>
  </si>
  <si>
    <t>Base Year Revenue (Yr 0, $mm)</t>
  </si>
  <si>
    <t>LTM actual</t>
  </si>
  <si>
    <t>Phase 1 Growth Rate (Yr 1-3)</t>
  </si>
  <si>
    <t>High growth</t>
  </si>
  <si>
    <t>Phase 2 Growth Rate (Yr 4-7)</t>
  </si>
  <si>
    <t>Transition</t>
  </si>
  <si>
    <t>Phase 3 Growth Rate (Yr 8-10)</t>
  </si>
  <si>
    <t>Mature</t>
  </si>
  <si>
    <t>Revenue Mix: Product (%)</t>
  </si>
  <si>
    <t>Memo</t>
  </si>
  <si>
    <t>Revenue Mix: Services (%)</t>
  </si>
  <si>
    <t>MARGIN &amp; PROFITABILITY ASSUMPTIONS</t>
  </si>
  <si>
    <t>Gross Margin — Year 1</t>
  </si>
  <si>
    <t>Gross Margin — Year 5</t>
  </si>
  <si>
    <t>Gross Margin — Year 10</t>
  </si>
  <si>
    <t>Terminal</t>
  </si>
  <si>
    <t>EBITDA Margin — Year 1</t>
  </si>
  <si>
    <t>EBITDA Margin — Year 5</t>
  </si>
  <si>
    <t>EBITDA Margin — Year 10</t>
  </si>
  <si>
    <t>Steady-state</t>
  </si>
  <si>
    <t>Stock-Based Comp as % of Rev</t>
  </si>
  <si>
    <t>Damodaran: real expense</t>
  </si>
  <si>
    <t>Interest Income Rate (on cash)</t>
  </si>
  <si>
    <t>Marginal / blended</t>
  </si>
  <si>
    <t>NOL Benefit (Yr 1-3)</t>
  </si>
  <si>
    <t>Reduces effective tax</t>
  </si>
  <si>
    <t>REINVESTMENT &amp; CAPEX ASSUMPTIONS</t>
  </si>
  <si>
    <t>CapEx as % of Revenue — Phase 1 (Yr 1-3)</t>
  </si>
  <si>
    <t>Growth</t>
  </si>
  <si>
    <t>CapEx as % of Revenue — Phase 2 (Yr 4-7)</t>
  </si>
  <si>
    <t>CapEx as % of Revenue — Phase 3 (Yr 8-10)</t>
  </si>
  <si>
    <t>Maintenance</t>
  </si>
  <si>
    <t>Change in NWC as % of Δ Revenue</t>
  </si>
  <si>
    <t>Δ NWC / Δ Rev</t>
  </si>
  <si>
    <t>NWC Base (Year 0, $mm)</t>
  </si>
  <si>
    <t>Anchor for Yr-1</t>
  </si>
  <si>
    <t>Acquisition Spend as % of Revenue</t>
  </si>
  <si>
    <t>Tuck-ins</t>
  </si>
  <si>
    <t>Damodaran adj.</t>
  </si>
  <si>
    <t>Sales-to-Capital Ratio  (Damodaran)</t>
  </si>
  <si>
    <t>Invested Capital = Revenue / Ratio. Tech median ≈ 2.0x. Lower = more capital-intensive.</t>
  </si>
  <si>
    <t>WACC ASSUMPTIONS  (cross-checked on 📋 WACC Builder)</t>
  </si>
  <si>
    <t>Risk-Free Rate (10Y UST)</t>
  </si>
  <si>
    <t>10Y Treasury</t>
  </si>
  <si>
    <t>Damodaran implied</t>
  </si>
  <si>
    <t>Market / re-levered</t>
  </si>
  <si>
    <t>Duff &amp; Phelps</t>
  </si>
  <si>
    <t>Analyst discretion</t>
  </si>
  <si>
    <t>Cost of Equity (Ke = Rf + β·ERP + SCP + CSRP)</t>
  </si>
  <si>
    <t>Pre-Tax Cost of Debt (Kd)</t>
  </si>
  <si>
    <t>Blended YTM across tranches</t>
  </si>
  <si>
    <t>After-Tax Cost of Debt  = Kd·(1−t)</t>
  </si>
  <si>
    <t>Equity Weight  (market value)</t>
  </si>
  <si>
    <t>Debt Weight  = 1 − We</t>
  </si>
  <si>
    <t>WACC</t>
  </si>
  <si>
    <t>TERMINAL VALUE ASSUMPTIONS</t>
  </si>
  <si>
    <t>Terminal Growth Rate  (g)</t>
  </si>
  <si>
    <t>≤ long-run nominal GDP</t>
  </si>
  <si>
    <t>Terminal CapEx as % of Revenue</t>
  </si>
  <si>
    <t>Implies reinvestment rate = g / ROIC</t>
  </si>
  <si>
    <t>TV Method</t>
  </si>
  <si>
    <t>Gordon Growth</t>
  </si>
  <si>
    <t>EV/EBITDA Exit Multiple (if Exit Multiple)</t>
  </si>
  <si>
    <t>EQUITY BRIDGE — BALANCE SHEET ADJUSTMENTS ($mm)</t>
  </si>
  <si>
    <t>+ to EV</t>
  </si>
  <si>
    <t>− from EV</t>
  </si>
  <si>
    <t>Treat as debt</t>
  </si>
  <si>
    <t>Operating Lease Obligations (PV)</t>
  </si>
  <si>
    <t>ASC 842 / IFRS 16</t>
  </si>
  <si>
    <t>Minority Interest (market value)</t>
  </si>
  <si>
    <t>+ to EV (non-op)</t>
  </si>
  <si>
    <t>Options Value (BSM, $mm)</t>
  </si>
  <si>
    <t>− employee options</t>
  </si>
  <si>
    <t>SCENARIO WEIGHTING &amp; CONVENTIONS</t>
  </si>
  <si>
    <t>Scenario Probability</t>
  </si>
  <si>
    <t>Probability-weighted intrinsic value</t>
  </si>
  <si>
    <t>Probability Check  (must = 100%)</t>
  </si>
  <si>
    <t>Mid-Year Convention  (Y / N)</t>
  </si>
  <si>
    <t>Y</t>
  </si>
  <si>
    <t>Y = mid-year (0.5,1.5…)   N = end-of-year (1,2…)</t>
  </si>
  <si>
    <t>📈  HISTORICAL FINANCIALS</t>
  </si>
  <si>
    <t>Income statement, cash flow, and free cash flow — 5-year history</t>
  </si>
  <si>
    <t>INCOME STATEMENT ($mm)</t>
  </si>
  <si>
    <t>Metric</t>
  </si>
  <si>
    <t>2021</t>
  </si>
  <si>
    <t>2022</t>
  </si>
  <si>
    <t>2023</t>
  </si>
  <si>
    <t>2024</t>
  </si>
  <si>
    <t>Revenue</t>
  </si>
  <si>
    <t xml:space="preserve">   YoY Growth %</t>
  </si>
  <si>
    <t>Gross Profit</t>
  </si>
  <si>
    <t xml:space="preserve">   Gross Margin %</t>
  </si>
  <si>
    <t>Operating Expenses</t>
  </si>
  <si>
    <t>EBITDA</t>
  </si>
  <si>
    <t xml:space="preserve">   EBITDA Margin %</t>
  </si>
  <si>
    <t>EBIT</t>
  </si>
  <si>
    <t xml:space="preserve">   EBIT Margin %</t>
  </si>
  <si>
    <t>EBT</t>
  </si>
  <si>
    <t>Taxes  (@ 21%)</t>
  </si>
  <si>
    <t>Net Income</t>
  </si>
  <si>
    <t xml:space="preserve">   Net Margin %</t>
  </si>
  <si>
    <t>CASH FLOW &amp; FREE CASH FLOW ($mm)</t>
  </si>
  <si>
    <t>+ D&amp;A</t>
  </si>
  <si>
    <t>+ Stock-Based Comp</t>
  </si>
  <si>
    <t>± Change in NWC</t>
  </si>
  <si>
    <t>Operating Cash Flow</t>
  </si>
  <si>
    <t>Free Cash Flow</t>
  </si>
  <si>
    <t xml:space="preserve">   FCF Margin %</t>
  </si>
  <si>
    <t xml:space="preserve">   FCF / Net Income (Conversion)</t>
  </si>
  <si>
    <t>🔢  DCF PROJECTION ENGINE</t>
  </si>
  <si>
    <t>10-year explicit FCFF projection — switchable Base / Bear / Bull</t>
  </si>
  <si>
    <t>Active Scenario</t>
  </si>
  <si>
    <t>Base</t>
  </si>
  <si>
    <t>Change scenario → all formulas re-pull from Base/Bear/Bull on Assumptions</t>
  </si>
  <si>
    <t>REVENUE &amp; GROWTH ($mm)</t>
  </si>
  <si>
    <t>Year 1</t>
  </si>
  <si>
    <t>Year 2</t>
  </si>
  <si>
    <t>Year 3</t>
  </si>
  <si>
    <t>Year 4</t>
  </si>
  <si>
    <t>Year 5</t>
  </si>
  <si>
    <t>Year 6</t>
  </si>
  <si>
    <t>Year 7</t>
  </si>
  <si>
    <t>Year 8</t>
  </si>
  <si>
    <t>Year 9</t>
  </si>
  <si>
    <t>Year 10</t>
  </si>
  <si>
    <t>Terminal Year</t>
  </si>
  <si>
    <t>YoY Growth Rate</t>
  </si>
  <si>
    <t>MARGINS  →  EBITDA  →  EBIT  →  NOPAT ($mm)</t>
  </si>
  <si>
    <t>Gross Margin %</t>
  </si>
  <si>
    <t>EBITDA Margin %</t>
  </si>
  <si>
    <t>− D&amp;A</t>
  </si>
  <si>
    <t>− Taxes on EBIT</t>
  </si>
  <si>
    <t>NOPAT (EBIT × (1−t))</t>
  </si>
  <si>
    <t>FREE CASH FLOW TO FIRM  (FCFF $mm)</t>
  </si>
  <si>
    <t>NOPAT</t>
  </si>
  <si>
    <t>+ D&amp;A (non-cash)</t>
  </si>
  <si>
    <t>− Capital Expenditures</t>
  </si>
  <si>
    <t>− Change in NWC</t>
  </si>
  <si>
    <t>− Acquisitions</t>
  </si>
  <si>
    <t>FCFF</t>
  </si>
  <si>
    <t xml:space="preserve">   FCFF Margin</t>
  </si>
  <si>
    <t xml:space="preserve">   Reinvestment Rate  (1 − FCFF/NOPAT)</t>
  </si>
  <si>
    <t xml:space="preserve">   Invested Capital (cumulative, est.)</t>
  </si>
  <si>
    <t xml:space="preserve">   ROIC  (NOPAT / Invested Capital, lagged)</t>
  </si>
  <si>
    <t>DISCOUNTING &amp; PRESENT VALUE</t>
  </si>
  <si>
    <t>Discount Period</t>
  </si>
  <si>
    <t>WACC (active scenario)</t>
  </si>
  <si>
    <t>WACC is constant across all 10 years — single discount rate</t>
  </si>
  <si>
    <t>Discount Factor  = 1 / (1+WACC)^t</t>
  </si>
  <si>
    <t>PV of FCFF</t>
  </si>
  <si>
    <t>Cumulative PV</t>
  </si>
  <si>
    <t>TERMINAL VALUE</t>
  </si>
  <si>
    <t>Terminal Year FCFF ($mm)</t>
  </si>
  <si>
    <t>Terminal Year EBITDA ($mm)</t>
  </si>
  <si>
    <t>Exit Multiple (EV/EBITDA)</t>
  </si>
  <si>
    <t>Gordon Growth TV</t>
  </si>
  <si>
    <t>Exit Multiple TV</t>
  </si>
  <si>
    <t>Terminal Value USED</t>
  </si>
  <si>
    <t>TV method toggle on Assumptions row 73</t>
  </si>
  <si>
    <t>PV of Terminal Value</t>
  </si>
  <si>
    <t>TV as % of Total EV</t>
  </si>
  <si>
    <t>EQUITY BRIDGE</t>
  </si>
  <si>
    <t>Sum of PV of FCFFs (Yr 1-10)</t>
  </si>
  <si>
    <t>+ PV of Terminal Value</t>
  </si>
  <si>
    <t>ENTERPRISE VALUE  ($mm)</t>
  </si>
  <si>
    <t>+ Cash &amp; Equivalents</t>
  </si>
  <si>
    <t>+ Short-Term Investments</t>
  </si>
  <si>
    <t>+ Equity Stakes / Investments</t>
  </si>
  <si>
    <t>− Total Debt (Gross)</t>
  </si>
  <si>
    <t>− Pension Underfunding</t>
  </si>
  <si>
    <t>− Operating Lease Obligations</t>
  </si>
  <si>
    <t>− Minority Interest</t>
  </si>
  <si>
    <t>− Deferred Tax Liability</t>
  </si>
  <si>
    <t>− Options Value (BSM dilution)</t>
  </si>
  <si>
    <t>EQUITY VALUE  ($mm)</t>
  </si>
  <si>
    <t>÷ Diluted Shares Outstanding (mm)</t>
  </si>
  <si>
    <t>INTRINSIC VALUE / SHARE  ($)</t>
  </si>
  <si>
    <t>Upside / (Downside) %</t>
  </si>
  <si>
    <t>Implied EV / EBITDA (Yr 1)</t>
  </si>
  <si>
    <t>Implied EV / Revenue (Yr 1)</t>
  </si>
  <si>
    <t>VALUE-CREATION &amp; SANITY CHECKS</t>
  </si>
  <si>
    <t>Terminal ROIC (assumed)</t>
  </si>
  <si>
    <t>Terminal ROIC − WACC  (Spread)</t>
  </si>
  <si>
    <t>Positive spread = value creation in terminal</t>
  </si>
  <si>
    <t>Implied Terminal Reinvestment  = g / ROIC</t>
  </si>
  <si>
    <t>Model Terminal Reinvestment Rate (M32)</t>
  </si>
  <si>
    <t>Reinvestment Consistency Check (≈ 0%)</t>
  </si>
  <si>
    <t>Large gap → terminal inconsistent with ROIC</t>
  </si>
  <si>
    <t>TGR vs Risk-Free Rate Check</t>
  </si>
  <si>
    <t>📉  SENSITIVITY ANALYSIS</t>
  </si>
  <si>
    <t>Intrinsic value / share over WACC × Terminal Growth Rate, and exit multiple × WACC</t>
  </si>
  <si>
    <t>INTRINSIC VALUE / SHARE  ($)  —  WACC (cols) × Terminal Growth Rate (rows)</t>
  </si>
  <si>
    <t>TGR  ↓     WACC →</t>
  </si>
  <si>
    <t>Note: holds Base-case projected FCFFs (DCF Engine row 30) constant; varies discounting WACC and capitalization growth.</t>
  </si>
  <si>
    <t>IMPLIED EV  ($mm)  —  Exit Multiple (cols) × WACC (rows)</t>
  </si>
  <si>
    <t>WACC ↓   ExitMult →</t>
  </si>
  <si>
    <t>📋  WACC BUILDER — DAMODARAN METHODOLOGY</t>
  </si>
  <si>
    <t>Full build of cost of equity, debt, and weights — cross-checks Base case on Assumptions</t>
  </si>
  <si>
    <t>Component</t>
  </si>
  <si>
    <t>Value</t>
  </si>
  <si>
    <t>Notes / Source</t>
  </si>
  <si>
    <t>RISK-FREE RATE</t>
  </si>
  <si>
    <t>10-Year Treasury Yield (nominal)</t>
  </si>
  <si>
    <t>Inflation Expectation (10Y BEI)</t>
  </si>
  <si>
    <t>Implied Real Risk-Free Rate</t>
  </si>
  <si>
    <t>Country Risk Premium (CRP)</t>
  </si>
  <si>
    <t>For non-US exposure</t>
  </si>
  <si>
    <t>EQUITY RISK PREMIUM</t>
  </si>
  <si>
    <t>Damodaran Implied ERP (market-derived)</t>
  </si>
  <si>
    <t>Historical ERP (1928-2024 arithmetic)</t>
  </si>
  <si>
    <t>ERP Used</t>
  </si>
  <si>
    <t>BETA ANALYSIS</t>
  </si>
  <si>
    <t>Raw Regression Beta (2Y weekly vs S&amp;P 500)</t>
  </si>
  <si>
    <t>Bloomberg Adjusted Beta (0.67·raw + 0.33)</t>
  </si>
  <si>
    <t>Damodaran Industry Beta (unlevered)</t>
  </si>
  <si>
    <t>Debt / Equity Ratio (market)</t>
  </si>
  <si>
    <t>Re-Levered Beta  (Hamada: βu·[1+(1−t)·D/E])</t>
  </si>
  <si>
    <t>Beta Used (links to Assumptions)</t>
  </si>
  <si>
    <t>Edit on Assumptions to flip between regression vs Hamada</t>
  </si>
  <si>
    <t>COST OF EQUITY  (CAPM + Premiums)</t>
  </si>
  <si>
    <t>+ Beta × ERP</t>
  </si>
  <si>
    <t>+ Country Risk Premium</t>
  </si>
  <si>
    <t>+ Small Company Premium</t>
  </si>
  <si>
    <t>+ Specific Company Risk Premium</t>
  </si>
  <si>
    <t>COST OF EQUITY  (Ke)</t>
  </si>
  <si>
    <t>COST OF DEBT</t>
  </si>
  <si>
    <t>Pre-Tax Cost of Debt  (YTM)</t>
  </si>
  <si>
    <t>AFTER-TAX COST OF DEBT  (Kd·(1−t))</t>
  </si>
  <si>
    <t>CAPITAL STRUCTURE  (market value weights)</t>
  </si>
  <si>
    <t>Equity Weight  (We)</t>
  </si>
  <si>
    <t>Debt Weight  (Wd)</t>
  </si>
  <si>
    <t>WACC CALCULATION</t>
  </si>
  <si>
    <t>Ke × We</t>
  </si>
  <si>
    <t>Kd·(1−t) × Wd</t>
  </si>
  <si>
    <t>WACC  (built-up)</t>
  </si>
  <si>
    <t>Assumptions WACC (Base)</t>
  </si>
  <si>
    <t>Difference  (build − assumption)</t>
  </si>
  <si>
    <t>Should be 0.00% — both routes use same inputs</t>
  </si>
  <si>
    <t>🏦  CAPITAL STRUCTURE &amp; DEBT SCHEDULE</t>
  </si>
  <si>
    <t>Debt tranches with weighted-avg cost, diluted share waterfall, EV cross-check</t>
  </si>
  <si>
    <t>DEBT TRANCHE</t>
  </si>
  <si>
    <t>Face Value ($mm)</t>
  </si>
  <si>
    <t>Coupon / Rate</t>
  </si>
  <si>
    <t>Maturity</t>
  </si>
  <si>
    <t>Notes</t>
  </si>
  <si>
    <t>2017 Senior Notes (Whole Foods)</t>
  </si>
  <si>
    <t>2.40%-4.05% coupons</t>
  </si>
  <si>
    <t>2020 Senior Notes</t>
  </si>
  <si>
    <t>0.40%-2.70% coupons</t>
  </si>
  <si>
    <t>2021 Senior Notes</t>
  </si>
  <si>
    <t>0.45%-3.25% coupons</t>
  </si>
  <si>
    <t>2022 Senior Notes</t>
  </si>
  <si>
    <t>2.73%-4.70% coupons</t>
  </si>
  <si>
    <t>2025 Senior Notes</t>
  </si>
  <si>
    <t>~4.5%-5.1% coupons</t>
  </si>
  <si>
    <t>Finance Lease Obligations</t>
  </si>
  <si>
    <t>ASC 842 finance leases</t>
  </si>
  <si>
    <t>Total Gross Debt</t>
  </si>
  <si>
    <t>Weighted Average Pre-Tax Cost of Debt</t>
  </si>
  <si>
    <t>Compare to Assumptions C62 (model input)</t>
  </si>
  <si>
    <t>DILUTED SHARE COUNT  (Treasury Stock Method)</t>
  </si>
  <si>
    <t>Shares (mm)</t>
  </si>
  <si>
    <t>+ Options + RSUs (in-the-money)</t>
  </si>
  <si>
    <t>− Treasury Shares from Proceeds</t>
  </si>
  <si>
    <t>Diluted Share Count  (mm)</t>
  </si>
  <si>
    <t>Cross-check vs Assumptions C22</t>
  </si>
  <si>
    <t>MARKET CAP &amp; EV CROSS-CHECK</t>
  </si>
  <si>
    <t>+ Net Debt (Debt − Cash − ST Inv.)</t>
  </si>
  <si>
    <t>TRADING ENTERPRISE VALUE  ($mm)</t>
  </si>
  <si>
    <t>vs DCF Enterprise Value (Base)</t>
  </si>
  <si>
    <t>Premium / (Discount) to DCF</t>
  </si>
  <si>
    <t>STREET CONSENSUS vs MODEL  (LSEG, 01-Jul-2026)</t>
  </si>
  <si>
    <t>Mean Target Price ($)</t>
  </si>
  <si>
    <t>Model Base Value ($)</t>
  </si>
  <si>
    <t>Median Target Price ($)</t>
  </si>
  <si>
    <t>Model Prob-Weighted ($)</t>
  </si>
  <si>
    <t>High / Low Target ($)</t>
  </si>
  <si>
    <t>Street Upside to Mean</t>
  </si>
  <si>
    <t>Rec Mean (1=Strong Buy)</t>
  </si>
  <si>
    <t>Model Upside (Prob-Wtd)</t>
  </si>
  <si>
    <t>Consensus LTG %</t>
  </si>
  <si>
    <t>Model vs Street Mean Gap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</si>
</sst>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0.00%\);&quot;-&quot;"/>
    <numFmt numFmtId="165" formatCode="0.0%;\(0.0%\);&quot;-&quot;"/>
    <numFmt numFmtId="166" formatCode="0.0&quot;x&quot;"/>
    <numFmt numFmtId="167" formatCode="#,##0_);\(#,##0\);&quot;-&quot;"/>
    <numFmt numFmtId="168" formatCode="yyyy\-mm\-dd"/>
    <numFmt numFmtId="169" formatCode="&quot;$&quot;#,##0.00_);\(&quot;$&quot;#,##0.00\);&quot;-&quot;"/>
    <numFmt numFmtId="170" formatCode="0.00&quot;x&quot;"/>
    <numFmt numFmtId="171" formatCode="0.0"/>
    <numFmt numFmtId="172" formatCode="0.0000"/>
    <numFmt numFmtId="173" formatCode="&quot;$&quot;#,##0.00"/>
    <numFmt numFmtId="174" formatCode="&quot;$&quot;#,##0"/>
    <numFmt numFmtId="175" formatCode="0.0%"/>
  </numFmts>
  <fonts count="61" x14ac:knownFonts="1">
    <font>
      <sz val="11"/>
      <color theme="1"/>
      <name val="Calibri"/>
      <family val="2"/>
      <scheme val="minor"/>
    </font>
    <font>
      <i/>
      <sz val="11"/>
      <color rgb="FF7F7F7F"/>
      <name val="Calibri"/>
      <family val="2"/>
      <scheme val="minor"/>
    </font>
    <font>
      <sz val="11"/>
      <color rgb="FF1F3864"/>
      <name val="Calibri"/>
      <family val="2"/>
      <scheme val="minor"/>
    </font>
    <font>
      <i/>
      <sz val="11"/>
      <color rgb="FF595959"/>
      <name val="Calibri"/>
      <family val="2"/>
      <scheme val="minor"/>
    </font>
    <font>
      <b/>
      <sz val="11"/>
      <color rgb="FFFFFFFF"/>
      <name val="Calibri"/>
      <family val="2"/>
      <scheme val="minor"/>
    </font>
    <font>
      <b/>
      <sz val="11"/>
      <color rgb="FF1F3864"/>
      <name val="Calibri"/>
      <family val="2"/>
      <scheme val="minor"/>
    </font>
    <font>
      <sz val="12"/>
      <color rgb="FF1F3864"/>
      <name val="Calibri"/>
      <family val="2"/>
      <scheme val="minor"/>
    </font>
    <font>
      <b/>
      <sz val="12"/>
      <color rgb="FF1F3864"/>
      <name val="Calibri"/>
      <family val="2"/>
      <scheme val="minor"/>
    </font>
    <font>
      <b/>
      <sz val="11"/>
      <color rgb="FF2F5496"/>
      <name val="Calibri"/>
      <family val="2"/>
      <scheme val="minor"/>
    </font>
    <font>
      <i/>
      <sz val="11"/>
      <color rgb="FF1F3864"/>
      <name val="Calibri"/>
      <family val="2"/>
      <scheme val="minor"/>
    </font>
    <font>
      <b/>
      <sz val="13"/>
      <color rgb="FF1F3864"/>
      <name val="Calibri"/>
      <family val="2"/>
      <scheme val="minor"/>
    </font>
    <font>
      <b/>
      <sz val="12"/>
      <color rgb="FFFFFFFF"/>
      <name val="Calibri"/>
      <family val="2"/>
      <scheme val="minor"/>
    </font>
    <font>
      <b/>
      <sz val="12"/>
      <color rgb="FF7F6000"/>
      <name val="Calibri"/>
      <family val="2"/>
      <scheme val="minor"/>
    </font>
    <font>
      <b/>
      <sz val="14"/>
      <color rgb="FFFFFFFF"/>
      <name val="Calibri"/>
      <family val="2"/>
      <scheme val="minor"/>
    </font>
    <font>
      <sz val="12"/>
      <color theme="1"/>
      <name val="Calibri"/>
      <family val="2"/>
      <scheme val="minor"/>
    </font>
    <font>
      <b/>
      <sz val="14"/>
      <color rgb="FF1F3864"/>
      <name val="Calibri"/>
      <family val="2"/>
      <scheme val="minor"/>
    </font>
    <font>
      <b/>
      <sz val="15"/>
      <color rgb="FFFFFFFF"/>
      <name val="Calibri"/>
      <family val="2"/>
      <scheme val="minor"/>
    </font>
    <font>
      <b/>
      <sz val="13"/>
      <color rgb="FFFFFFFF"/>
      <name val="Calibri"/>
      <family val="2"/>
      <scheme val="minor"/>
    </font>
    <font>
      <b/>
      <sz val="20"/>
      <color rgb="FFFFFFFF"/>
      <name val="Calibri"/>
      <family val="2"/>
      <scheme val="minor"/>
    </font>
    <font>
      <b/>
      <sz val="12"/>
      <color rgb="FF7B0000"/>
      <name val="Calibri"/>
      <family val="2"/>
      <scheme val="minor"/>
    </font>
    <font>
      <sz val="12"/>
      <color rgb="FF7B0000"/>
      <name val="Calibri"/>
      <family val="2"/>
      <scheme val="minor"/>
    </font>
    <font>
      <sz val="12"/>
      <color rgb="FF008000"/>
      <name val="Calibri"/>
      <family val="2"/>
      <scheme val="minor"/>
    </font>
    <font>
      <sz val="11"/>
      <color rgb="FF008000"/>
      <name val="Calibri"/>
      <family val="2"/>
      <scheme val="minor"/>
    </font>
    <font>
      <i/>
      <sz val="12"/>
      <color rgb="FF1F3864"/>
      <name val="Calibri"/>
      <family val="2"/>
      <scheme val="minor"/>
    </font>
    <font>
      <b/>
      <sz val="16"/>
      <color rgb="FFC00000"/>
      <name val="Calibri"/>
      <family val="2"/>
      <scheme val="minor"/>
    </font>
    <font>
      <i/>
      <sz val="12"/>
      <color rgb="FF404040"/>
      <name val="Calibri"/>
      <family val="2"/>
      <scheme val="minor"/>
    </font>
    <font>
      <b/>
      <sz val="12"/>
      <color rgb="FF0000FF"/>
      <name val="Calibri"/>
      <family val="2"/>
      <scheme val="minor"/>
    </font>
    <font>
      <b/>
      <sz val="12"/>
      <color rgb="FF000000"/>
      <name val="Calibri"/>
      <family val="2"/>
      <scheme val="minor"/>
    </font>
    <font>
      <b/>
      <sz val="12"/>
      <color rgb="FF008000"/>
      <name val="Calibri"/>
      <family val="2"/>
      <scheme val="minor"/>
    </font>
    <font>
      <b/>
      <sz val="12"/>
      <color rgb="FFFF0000"/>
      <name val="Calibri"/>
      <family val="2"/>
      <scheme val="minor"/>
    </font>
    <font>
      <b/>
      <i/>
      <sz val="12"/>
      <color rgb="FFFFFFFF"/>
      <name val="Calibri"/>
      <family val="2"/>
      <scheme val="minor"/>
    </font>
    <font>
      <i/>
      <sz val="12"/>
      <color rgb="FF595959"/>
      <name val="Calibri"/>
      <family val="2"/>
    </font>
    <font>
      <b/>
      <sz val="12"/>
      <color rgb="FFFFFFFF"/>
      <name val="Calibri"/>
      <family val="2"/>
    </font>
    <font>
      <sz val="12"/>
      <color rgb="FF000000"/>
      <name val="Calibri"/>
      <family val="2"/>
    </font>
    <font>
      <sz val="12"/>
      <color rgb="FF0070C0"/>
      <name val="Calibri"/>
      <family val="2"/>
    </font>
    <font>
      <b/>
      <sz val="12"/>
      <color rgb="FF000000"/>
      <name val="Calibri"/>
      <family val="2"/>
    </font>
    <font>
      <i/>
      <sz val="12"/>
      <color rgb="FF000000"/>
      <name val="Calibri"/>
      <family val="2"/>
    </font>
    <font>
      <b/>
      <sz val="20"/>
      <color rgb="FFFFFFFF"/>
      <name val="Calibri"/>
      <family val="2"/>
    </font>
    <font>
      <i/>
      <sz val="12"/>
      <color rgb="FF1F3864"/>
      <name val="Calibri"/>
      <family val="2"/>
    </font>
    <font>
      <b/>
      <sz val="13"/>
      <color rgb="FFFFFFFF"/>
      <name val="Calibri"/>
      <family val="2"/>
    </font>
    <font>
      <sz val="12"/>
      <color rgb="FF1F3864"/>
      <name val="Calibri"/>
      <family val="2"/>
    </font>
    <font>
      <i/>
      <sz val="11"/>
      <color rgb="FF7F7F7F"/>
      <name val="Calibri"/>
      <family val="2"/>
    </font>
    <font>
      <b/>
      <sz val="12"/>
      <color rgb="FF1F3864"/>
      <name val="Calibri"/>
      <family val="2"/>
    </font>
    <font>
      <b/>
      <sz val="12"/>
      <color rgb="FF0000FF"/>
      <name val="Calibri"/>
      <family val="2"/>
    </font>
    <font>
      <sz val="12"/>
      <color rgb="FF006100"/>
      <name val="Calibri"/>
      <family val="2"/>
    </font>
    <font>
      <b/>
      <sz val="12"/>
      <color rgb="FF006100"/>
      <name val="Calibri"/>
      <family val="2"/>
    </font>
    <font>
      <b/>
      <i/>
      <sz val="12"/>
      <color rgb="FF000000"/>
      <name val="Calibri"/>
      <family val="2"/>
    </font>
    <font>
      <b/>
      <i/>
      <sz val="11"/>
      <color rgb="FF7F7F7F"/>
      <name val="Calibri"/>
      <family val="2"/>
    </font>
    <font>
      <b/>
      <i/>
      <sz val="12"/>
      <color rgb="FF1F3864"/>
      <name val="Calibri"/>
      <family val="2"/>
    </font>
    <font>
      <b/>
      <sz val="14"/>
      <color rgb="FF000000"/>
      <name val="Calibri"/>
      <family val="2"/>
    </font>
    <font>
      <sz val="12"/>
      <color rgb="FF008000"/>
      <name val="Calibri"/>
      <family val="2"/>
    </font>
    <font>
      <b/>
      <sz val="12"/>
      <color rgb="FF008000"/>
      <name val="Calibri"/>
      <family val="2"/>
    </font>
    <font>
      <b/>
      <i/>
      <sz val="12"/>
      <color rgb="FF0000FF"/>
      <name val="Calibri"/>
      <family val="2"/>
      <scheme val="minor"/>
    </font>
    <font>
      <sz val="12"/>
      <color rgb="FF595959"/>
      <name val="Calibri"/>
      <family val="2"/>
    </font>
    <font>
      <i/>
      <sz val="12"/>
      <color rgb="FFA0A0A0"/>
      <name val="Calibri"/>
      <family val="2"/>
    </font>
    <font>
      <sz val="12"/>
      <color rgb="FFA0A0A0"/>
      <name val="Calibri"/>
      <family val="2"/>
    </font>
    <font>
      <b/>
      <sz val="20"/>
      <color theme="0"/>
      <name val="Calibri"/>
      <family val="2"/>
      <scheme val="minor"/>
    </font>
    <font>
      <i/>
      <sz val="16"/>
      <color rgb="FF5B9BD5"/>
      <name val="Calibri"/>
      <family val="2"/>
      <scheme val="minor"/>
    </font>
    <font>
      <sz val="9"/>
      <color indexed="81"/>
      <name val="Tahoma"/>
    </font>
    <font>
      <b/>
      <sz val="9"/>
      <color indexed="81"/>
      <name val="Tahoma"/>
    </font>
    <font>
      <sz val="12"/>
      <color rgb="FF0000FF"/>
      <name val="Calibri"/>
      <family val="2"/>
      <scheme val="minor"/>
    </font>
  </fonts>
  <fills count="26">
    <fill>
      <patternFill patternType="none"/>
    </fill>
    <fill>
      <patternFill patternType="gray125"/>
    </fill>
    <fill>
      <patternFill patternType="solid">
        <fgColor rgb="FF4A5C7A"/>
      </patternFill>
    </fill>
    <fill>
      <patternFill patternType="solid">
        <fgColor rgb="FF1F2A44"/>
      </patternFill>
    </fill>
    <fill>
      <patternFill patternType="solid">
        <fgColor rgb="FFFFF8DC"/>
      </patternFill>
    </fill>
    <fill>
      <patternFill patternType="solid">
        <fgColor rgb="FFE2EFDA"/>
      </patternFill>
    </fill>
    <fill>
      <patternFill patternType="solid">
        <fgColor rgb="FF1F3864"/>
        <bgColor indexed="64"/>
      </patternFill>
    </fill>
    <fill>
      <patternFill patternType="solid">
        <fgColor rgb="FFD9E1F2"/>
        <bgColor indexed="64"/>
      </patternFill>
    </fill>
    <fill>
      <patternFill patternType="solid">
        <fgColor rgb="FFFCE4D6"/>
        <bgColor indexed="64"/>
      </patternFill>
    </fill>
    <fill>
      <patternFill patternType="solid">
        <fgColor rgb="FFE2EFDA"/>
        <bgColor indexed="64"/>
      </patternFill>
    </fill>
    <fill>
      <patternFill patternType="solid">
        <fgColor rgb="FFF8F9FA"/>
        <bgColor indexed="64"/>
      </patternFill>
    </fill>
    <fill>
      <patternFill patternType="solid">
        <fgColor rgb="FFFFF2CC"/>
        <bgColor indexed="64"/>
      </patternFill>
    </fill>
    <fill>
      <patternFill patternType="solid">
        <fgColor rgb="FFFFFFFF"/>
        <bgColor indexed="64"/>
      </patternFill>
    </fill>
    <fill>
      <patternFill patternType="solid">
        <fgColor rgb="FFFFFF00"/>
        <bgColor indexed="64"/>
      </patternFill>
    </fill>
    <fill>
      <patternFill patternType="solid">
        <fgColor rgb="FF2F5496"/>
        <bgColor indexed="64"/>
      </patternFill>
    </fill>
    <fill>
      <patternFill patternType="solid">
        <fgColor rgb="FFF2F2F2"/>
        <bgColor indexed="64"/>
      </patternFill>
    </fill>
    <fill>
      <patternFill patternType="solid">
        <fgColor rgb="FF70AD47"/>
        <bgColor indexed="64"/>
      </patternFill>
    </fill>
    <fill>
      <patternFill patternType="solid">
        <fgColor rgb="FFC00000"/>
        <bgColor indexed="64"/>
      </patternFill>
    </fill>
    <fill>
      <patternFill patternType="solid">
        <fgColor rgb="FFFFF4E6"/>
        <bgColor indexed="64"/>
      </patternFill>
    </fill>
    <fill>
      <patternFill patternType="solid">
        <fgColor rgb="FF5B9BD5"/>
        <bgColor indexed="64"/>
      </patternFill>
    </fill>
    <fill>
      <patternFill patternType="solid">
        <fgColor rgb="FF548235"/>
        <bgColor indexed="64"/>
      </patternFill>
    </fill>
    <fill>
      <patternFill patternType="solid">
        <fgColor rgb="FFE7EEF7"/>
        <bgColor indexed="64"/>
      </patternFill>
    </fill>
    <fill>
      <patternFill patternType="solid">
        <fgColor rgb="FFED7D31"/>
        <bgColor indexed="64"/>
      </patternFill>
    </fill>
    <fill>
      <patternFill patternType="solid">
        <fgColor rgb="FF4472C4"/>
        <bgColor indexed="64"/>
      </patternFill>
    </fill>
    <fill>
      <patternFill patternType="solid">
        <fgColor rgb="FF7030A0"/>
        <bgColor indexed="64"/>
      </patternFill>
    </fill>
    <fill>
      <patternFill patternType="solid">
        <fgColor rgb="FF1F4E79"/>
        <bgColor indexed="64"/>
      </patternFill>
    </fill>
  </fills>
  <borders count="23">
    <border>
      <left/>
      <right/>
      <top/>
      <bottom/>
      <diagonal/>
    </border>
    <border>
      <left/>
      <right/>
      <top/>
      <bottom style="thin">
        <color rgb="FFD9D9D9"/>
      </bottom>
      <diagonal/>
    </border>
    <border>
      <left/>
      <right/>
      <top style="thin">
        <color rgb="FFD9D9D9"/>
      </top>
      <bottom style="thin">
        <color rgb="FFD9D9D9"/>
      </bottom>
      <diagonal/>
    </border>
    <border>
      <left/>
      <right/>
      <top style="thin">
        <color rgb="FFD9D9D9"/>
      </top>
      <bottom/>
      <diagonal/>
    </border>
    <border>
      <left/>
      <right/>
      <top style="thin">
        <color rgb="FF1F3864"/>
      </top>
      <bottom/>
      <diagonal/>
    </border>
    <border>
      <left/>
      <right/>
      <top/>
      <bottom style="thin">
        <color rgb="FF1F3864"/>
      </bottom>
      <diagonal/>
    </border>
    <border>
      <left style="thin">
        <color rgb="FF1F3864"/>
      </left>
      <right/>
      <top style="thin">
        <color rgb="FF1F3864"/>
      </top>
      <bottom/>
      <diagonal/>
    </border>
    <border>
      <left style="thin">
        <color rgb="FF1F3864"/>
      </left>
      <right/>
      <top/>
      <bottom/>
      <diagonal/>
    </border>
    <border>
      <left style="thin">
        <color rgb="FF1F3864"/>
      </left>
      <right/>
      <top/>
      <bottom style="thin">
        <color rgb="FF1F3864"/>
      </bottom>
      <diagonal/>
    </border>
    <border>
      <left/>
      <right style="thin">
        <color rgb="FF1F3864"/>
      </right>
      <top style="thin">
        <color rgb="FF1F3864"/>
      </top>
      <bottom/>
      <diagonal/>
    </border>
    <border>
      <left/>
      <right style="thin">
        <color rgb="FF1F3864"/>
      </right>
      <top/>
      <bottom/>
      <diagonal/>
    </border>
    <border>
      <left/>
      <right style="thin">
        <color rgb="FF1F3864"/>
      </right>
      <top/>
      <bottom style="thin">
        <color rgb="FF1F3864"/>
      </bottom>
      <diagonal/>
    </border>
    <border>
      <left/>
      <right/>
      <top style="medium">
        <color rgb="FF1F3864"/>
      </top>
      <bottom style="thin">
        <color rgb="FFD9D9D9"/>
      </bottom>
      <diagonal/>
    </border>
    <border>
      <left/>
      <right/>
      <top style="thin">
        <color rgb="FFD9D9D9"/>
      </top>
      <bottom style="medium">
        <color rgb="FF1F3864"/>
      </bottom>
      <diagonal/>
    </border>
    <border>
      <left style="medium">
        <color rgb="FF1F3864"/>
      </left>
      <right/>
      <top style="thin">
        <color rgb="FFD9D9D9"/>
      </top>
      <bottom style="thin">
        <color rgb="FFD9D9D9"/>
      </bottom>
      <diagonal/>
    </border>
    <border>
      <left style="medium">
        <color rgb="FF1F3864"/>
      </left>
      <right/>
      <top style="thin">
        <color rgb="FFD9D9D9"/>
      </top>
      <bottom style="medium">
        <color rgb="FF1F3864"/>
      </bottom>
      <diagonal/>
    </border>
    <border>
      <left/>
      <right style="medium">
        <color rgb="FF1F3864"/>
      </right>
      <top style="medium">
        <color rgb="FF1F3864"/>
      </top>
      <bottom style="thin">
        <color rgb="FFD9D9D9"/>
      </bottom>
      <diagonal/>
    </border>
    <border>
      <left/>
      <right style="medium">
        <color rgb="FF1F3864"/>
      </right>
      <top style="thin">
        <color rgb="FFD9D9D9"/>
      </top>
      <bottom style="thin">
        <color rgb="FFD9D9D9"/>
      </bottom>
      <diagonal/>
    </border>
    <border>
      <left/>
      <right style="medium">
        <color rgb="FF1F3864"/>
      </right>
      <top style="thin">
        <color rgb="FFD9D9D9"/>
      </top>
      <bottom style="medium">
        <color rgb="FF1F3864"/>
      </bottom>
      <diagonal/>
    </border>
    <border>
      <left/>
      <right/>
      <top style="medium">
        <color rgb="FF1F3864"/>
      </top>
      <bottom/>
      <diagonal/>
    </border>
    <border>
      <left style="medium">
        <color rgb="FF1F3864"/>
      </left>
      <right style="medium">
        <color rgb="FF1F3864"/>
      </right>
      <top style="thin">
        <color rgb="FFD9D9D9"/>
      </top>
      <bottom style="thin">
        <color rgb="FFD9D9D9"/>
      </bottom>
      <diagonal/>
    </border>
    <border>
      <left style="medium">
        <color rgb="FF1F3864"/>
      </left>
      <right style="medium">
        <color rgb="FF1F3864"/>
      </right>
      <top style="medium">
        <color rgb="FF1F3864"/>
      </top>
      <bottom style="thin">
        <color rgb="FFD9D9D9"/>
      </bottom>
      <diagonal/>
    </border>
    <border>
      <left style="thick">
        <color indexed="64"/>
      </left>
      <right/>
      <top/>
      <bottom/>
      <diagonal/>
    </border>
  </borders>
  <cellStyleXfs count="1">
    <xf numFmtId="0" fontId="0" fillId="0" borderId="0"/>
  </cellStyleXfs>
  <cellXfs count="259">
    <xf numFmtId="0" fontId="0" fillId="0" borderId="0" xfId="0"/>
    <xf numFmtId="0" fontId="0" fillId="0" borderId="0" xfId="0" applyAlignment="1">
      <alignment wrapText="1"/>
    </xf>
    <xf numFmtId="0" fontId="4" fillId="6" borderId="0" xfId="0" applyFont="1" applyFill="1" applyAlignment="1">
      <alignment horizontal="center" vertical="center" wrapText="1"/>
    </xf>
    <xf numFmtId="0" fontId="14" fillId="0" borderId="0" xfId="0" applyFont="1"/>
    <xf numFmtId="0" fontId="11" fillId="6" borderId="4"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10" fillId="11" borderId="2" xfId="0" applyFont="1" applyFill="1" applyBorder="1" applyAlignment="1">
      <alignment vertical="center" wrapText="1"/>
    </xf>
    <xf numFmtId="0" fontId="8" fillId="11" borderId="2" xfId="0" applyFont="1" applyFill="1" applyBorder="1" applyAlignment="1">
      <alignment horizontal="center" vertical="center" wrapText="1"/>
    </xf>
    <xf numFmtId="0" fontId="7" fillId="12" borderId="14" xfId="0" applyFont="1" applyFill="1" applyBorder="1" applyAlignment="1">
      <alignment horizontal="center" vertical="center" wrapText="1"/>
    </xf>
    <xf numFmtId="0" fontId="7" fillId="12" borderId="2" xfId="0" applyFont="1" applyFill="1" applyBorder="1" applyAlignment="1">
      <alignment vertical="center" wrapText="1"/>
    </xf>
    <xf numFmtId="0" fontId="8" fillId="12" borderId="2"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7" fillId="10" borderId="2" xfId="0" applyFont="1" applyFill="1" applyBorder="1" applyAlignment="1">
      <alignment vertical="center" wrapText="1"/>
    </xf>
    <xf numFmtId="0" fontId="8" fillId="10" borderId="2"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3" xfId="0" applyFont="1" applyFill="1" applyBorder="1" applyAlignment="1">
      <alignment vertical="center" wrapText="1"/>
    </xf>
    <xf numFmtId="0" fontId="8" fillId="12" borderId="13" xfId="0" applyFont="1" applyFill="1" applyBorder="1" applyAlignment="1">
      <alignment horizontal="center" vertical="center" wrapText="1"/>
    </xf>
    <xf numFmtId="0" fontId="5" fillId="10" borderId="7" xfId="0" applyFont="1" applyFill="1" applyBorder="1" applyAlignment="1">
      <alignment vertical="center" wrapText="1"/>
    </xf>
    <xf numFmtId="0" fontId="7" fillId="21" borderId="0" xfId="0" applyFont="1" applyFill="1" applyAlignment="1">
      <alignment horizontal="center" vertical="center" wrapText="1"/>
    </xf>
    <xf numFmtId="0" fontId="19" fillId="8" borderId="0" xfId="0" applyFont="1" applyFill="1" applyAlignment="1">
      <alignment horizontal="center" vertical="center" wrapText="1"/>
    </xf>
    <xf numFmtId="0" fontId="14" fillId="10" borderId="0" xfId="0" applyFont="1" applyFill="1"/>
    <xf numFmtId="0" fontId="14" fillId="12" borderId="0" xfId="0" applyFont="1" applyFill="1"/>
    <xf numFmtId="0" fontId="24" fillId="18" borderId="0" xfId="0" applyFont="1" applyFill="1" applyAlignment="1">
      <alignment horizontal="center" vertical="center" wrapText="1"/>
    </xf>
    <xf numFmtId="0" fontId="7" fillId="10" borderId="0" xfId="0" applyFont="1" applyFill="1" applyAlignment="1">
      <alignment vertical="center" wrapText="1"/>
    </xf>
    <xf numFmtId="0" fontId="6" fillId="10" borderId="0" xfId="0" applyFont="1" applyFill="1" applyAlignment="1">
      <alignment vertical="center" wrapText="1"/>
    </xf>
    <xf numFmtId="0" fontId="7" fillId="12" borderId="0" xfId="0" applyFont="1" applyFill="1" applyAlignment="1">
      <alignment vertical="center" wrapText="1"/>
    </xf>
    <xf numFmtId="0" fontId="6" fillId="12" borderId="0" xfId="0" applyFont="1" applyFill="1" applyAlignment="1">
      <alignment vertical="center" wrapText="1"/>
    </xf>
    <xf numFmtId="0" fontId="7" fillId="12" borderId="7" xfId="0" applyFont="1" applyFill="1" applyBorder="1" applyAlignment="1">
      <alignment vertical="center" wrapText="1"/>
    </xf>
    <xf numFmtId="0" fontId="25" fillId="12" borderId="10" xfId="0" applyFont="1" applyFill="1" applyBorder="1" applyAlignment="1">
      <alignment vertical="center" wrapText="1"/>
    </xf>
    <xf numFmtId="0" fontId="7" fillId="10" borderId="7" xfId="0" applyFont="1" applyFill="1" applyBorder="1" applyAlignment="1">
      <alignment vertical="center" wrapText="1"/>
    </xf>
    <xf numFmtId="0" fontId="25" fillId="10" borderId="10" xfId="0" applyFont="1" applyFill="1" applyBorder="1" applyAlignment="1">
      <alignment vertical="center" wrapText="1"/>
    </xf>
    <xf numFmtId="0" fontId="7" fillId="12" borderId="8" xfId="0" applyFont="1" applyFill="1" applyBorder="1" applyAlignment="1">
      <alignment vertical="center" wrapText="1"/>
    </xf>
    <xf numFmtId="0" fontId="25" fillId="12" borderId="11" xfId="0" applyFont="1" applyFill="1" applyBorder="1" applyAlignment="1">
      <alignment vertical="center" wrapText="1"/>
    </xf>
    <xf numFmtId="0" fontId="31" fillId="0" borderId="0" xfId="0" applyFont="1"/>
    <xf numFmtId="0" fontId="32" fillId="2" borderId="0" xfId="0" applyFont="1" applyFill="1" applyAlignment="1">
      <alignment horizontal="center" vertical="center"/>
    </xf>
    <xf numFmtId="0" fontId="33" fillId="0" borderId="0" xfId="0" applyFont="1" applyAlignment="1">
      <alignment horizontal="left" vertical="center" indent="1"/>
    </xf>
    <xf numFmtId="0" fontId="31" fillId="0" borderId="0" xfId="0" applyFont="1" applyAlignment="1">
      <alignment horizontal="left" vertical="center"/>
    </xf>
    <xf numFmtId="0" fontId="35" fillId="0" borderId="0" xfId="0" applyFont="1" applyAlignment="1">
      <alignment horizontal="left" vertical="center" indent="1"/>
    </xf>
    <xf numFmtId="164" fontId="34" fillId="4" borderId="0" xfId="0" applyNumberFormat="1" applyFont="1" applyFill="1" applyAlignment="1">
      <alignment horizontal="right" vertical="center"/>
    </xf>
    <xf numFmtId="165" fontId="35" fillId="0" borderId="0" xfId="0" applyNumberFormat="1" applyFont="1" applyAlignment="1">
      <alignment horizontal="right" vertical="center"/>
    </xf>
    <xf numFmtId="0" fontId="34" fillId="4" borderId="0" xfId="0" applyFont="1" applyFill="1" applyAlignment="1">
      <alignment horizontal="center"/>
    </xf>
    <xf numFmtId="166" fontId="34" fillId="4" borderId="0" xfId="0" applyNumberFormat="1" applyFont="1" applyFill="1" applyAlignment="1">
      <alignment horizontal="right" vertical="center"/>
    </xf>
    <xf numFmtId="0" fontId="32" fillId="6" borderId="0" xfId="0" applyFont="1" applyFill="1" applyAlignment="1">
      <alignment horizontal="center" vertical="center"/>
    </xf>
    <xf numFmtId="0" fontId="32" fillId="6" borderId="0" xfId="0" applyFont="1" applyFill="1" applyAlignment="1">
      <alignment horizontal="left" vertical="center" indent="1"/>
    </xf>
    <xf numFmtId="0" fontId="40" fillId="12" borderId="0" xfId="0" applyFont="1" applyFill="1" applyAlignment="1">
      <alignment horizontal="left" vertical="center" indent="2"/>
    </xf>
    <xf numFmtId="0" fontId="1" fillId="12" borderId="0" xfId="0" applyFont="1" applyFill="1" applyAlignment="1">
      <alignment vertical="center" wrapText="1"/>
    </xf>
    <xf numFmtId="0" fontId="40" fillId="10" borderId="0" xfId="0" applyFont="1" applyFill="1" applyAlignment="1">
      <alignment horizontal="left" vertical="center" indent="2"/>
    </xf>
    <xf numFmtId="0" fontId="1" fillId="10" borderId="0" xfId="0" applyFont="1" applyFill="1" applyAlignment="1">
      <alignment vertical="center" wrapText="1"/>
    </xf>
    <xf numFmtId="0" fontId="41" fillId="12" borderId="0" xfId="0" applyFont="1" applyFill="1" applyAlignment="1">
      <alignment horizontal="left" vertical="center" wrapText="1"/>
    </xf>
    <xf numFmtId="0" fontId="41" fillId="10" borderId="0" xfId="0" applyFont="1" applyFill="1" applyAlignment="1">
      <alignment horizontal="left" vertical="center" wrapText="1"/>
    </xf>
    <xf numFmtId="167" fontId="35" fillId="12" borderId="0" xfId="0" applyNumberFormat="1" applyFont="1" applyFill="1" applyAlignment="1">
      <alignment horizontal="right" vertical="center"/>
    </xf>
    <xf numFmtId="167" fontId="35" fillId="10" borderId="0" xfId="0" applyNumberFormat="1" applyFont="1" applyFill="1" applyAlignment="1">
      <alignment horizontal="right" vertical="center"/>
    </xf>
    <xf numFmtId="0" fontId="6" fillId="12" borderId="0" xfId="0" applyFont="1" applyFill="1" applyAlignment="1">
      <alignment vertical="center" indent="2"/>
    </xf>
    <xf numFmtId="0" fontId="6" fillId="10" borderId="0" xfId="0" applyFont="1" applyFill="1" applyAlignment="1">
      <alignment vertical="center" indent="2"/>
    </xf>
    <xf numFmtId="164" fontId="35" fillId="10" borderId="0" xfId="0" applyNumberFormat="1" applyFont="1" applyFill="1" applyAlignment="1">
      <alignment horizontal="right" vertical="center"/>
    </xf>
    <xf numFmtId="165" fontId="35" fillId="10" borderId="0" xfId="0" applyNumberFormat="1" applyFont="1" applyFill="1" applyAlignment="1">
      <alignment horizontal="right" vertical="center"/>
    </xf>
    <xf numFmtId="164" fontId="35" fillId="12" borderId="0" xfId="0" applyNumberFormat="1" applyFont="1" applyFill="1" applyAlignment="1">
      <alignment horizontal="right" vertical="center"/>
    </xf>
    <xf numFmtId="0" fontId="38" fillId="10" borderId="0" xfId="0" applyFont="1" applyFill="1" applyAlignment="1">
      <alignment horizontal="left" vertical="center" indent="2"/>
    </xf>
    <xf numFmtId="165" fontId="33" fillId="10" borderId="0" xfId="0" applyNumberFormat="1" applyFont="1" applyFill="1" applyAlignment="1">
      <alignment horizontal="right" vertical="center"/>
    </xf>
    <xf numFmtId="0" fontId="43" fillId="12" borderId="0" xfId="0" applyFont="1" applyFill="1" applyAlignment="1">
      <alignment horizontal="right" vertical="center" indent="1"/>
    </xf>
    <xf numFmtId="0" fontId="43" fillId="10" borderId="0" xfId="0" applyFont="1" applyFill="1" applyAlignment="1">
      <alignment horizontal="right" vertical="center" indent="1"/>
    </xf>
    <xf numFmtId="168" fontId="43" fillId="12" borderId="0" xfId="0" applyNumberFormat="1" applyFont="1" applyFill="1" applyAlignment="1">
      <alignment horizontal="right" vertical="center" indent="1"/>
    </xf>
    <xf numFmtId="169" fontId="43" fillId="12" borderId="0" xfId="0" applyNumberFormat="1" applyFont="1" applyFill="1" applyAlignment="1">
      <alignment horizontal="right" vertical="center"/>
    </xf>
    <xf numFmtId="169" fontId="43" fillId="10" borderId="0" xfId="0" applyNumberFormat="1" applyFont="1" applyFill="1" applyAlignment="1">
      <alignment horizontal="right" vertical="center"/>
    </xf>
    <xf numFmtId="167" fontId="43" fillId="10" borderId="0" xfId="0" applyNumberFormat="1" applyFont="1" applyFill="1" applyAlignment="1">
      <alignment horizontal="right" vertical="center"/>
    </xf>
    <xf numFmtId="167" fontId="43" fillId="12" borderId="0" xfId="0" applyNumberFormat="1" applyFont="1" applyFill="1" applyAlignment="1">
      <alignment horizontal="right" vertical="center"/>
    </xf>
    <xf numFmtId="167" fontId="33" fillId="12" borderId="0" xfId="0" applyNumberFormat="1" applyFont="1" applyFill="1" applyAlignment="1">
      <alignment horizontal="right" vertical="center"/>
    </xf>
    <xf numFmtId="167" fontId="33" fillId="10" borderId="0" xfId="0" applyNumberFormat="1" applyFont="1" applyFill="1" applyAlignment="1">
      <alignment horizontal="right" vertical="center"/>
    </xf>
    <xf numFmtId="165" fontId="43" fillId="10" borderId="0" xfId="0" applyNumberFormat="1" applyFont="1" applyFill="1" applyAlignment="1">
      <alignment horizontal="right" vertical="center"/>
    </xf>
    <xf numFmtId="165" fontId="43" fillId="12" borderId="0" xfId="0" applyNumberFormat="1" applyFont="1" applyFill="1" applyAlignment="1">
      <alignment horizontal="right" vertical="center"/>
    </xf>
    <xf numFmtId="170" fontId="43" fillId="12" borderId="0" xfId="0" applyNumberFormat="1" applyFont="1" applyFill="1" applyAlignment="1">
      <alignment horizontal="right" vertical="center"/>
    </xf>
    <xf numFmtId="164" fontId="43" fillId="12" borderId="0" xfId="0" applyNumberFormat="1" applyFont="1" applyFill="1" applyAlignment="1">
      <alignment horizontal="right" vertical="center"/>
    </xf>
    <xf numFmtId="164" fontId="43" fillId="10" borderId="0" xfId="0" applyNumberFormat="1" applyFont="1" applyFill="1" applyAlignment="1">
      <alignment horizontal="right" vertical="center"/>
    </xf>
    <xf numFmtId="2" fontId="43" fillId="12" borderId="0" xfId="0" applyNumberFormat="1" applyFont="1" applyFill="1" applyAlignment="1">
      <alignment horizontal="right" vertical="center"/>
    </xf>
    <xf numFmtId="164" fontId="33" fillId="10" borderId="0" xfId="0" applyNumberFormat="1" applyFont="1" applyFill="1" applyAlignment="1">
      <alignment horizontal="right" vertical="center"/>
    </xf>
    <xf numFmtId="164" fontId="33" fillId="12" borderId="0" xfId="0" applyNumberFormat="1" applyFont="1" applyFill="1" applyAlignment="1">
      <alignment horizontal="right" vertical="center"/>
    </xf>
    <xf numFmtId="0" fontId="43" fillId="10" borderId="0" xfId="0" applyFont="1" applyFill="1" applyAlignment="1">
      <alignment horizontal="right" vertical="center"/>
    </xf>
    <xf numFmtId="166" fontId="43" fillId="12" borderId="0" xfId="0" applyNumberFormat="1" applyFont="1" applyFill="1" applyAlignment="1">
      <alignment horizontal="right" vertical="center"/>
    </xf>
    <xf numFmtId="0" fontId="43" fillId="12" borderId="0" xfId="0" applyFont="1" applyFill="1" applyAlignment="1">
      <alignment horizontal="right" vertical="center"/>
    </xf>
    <xf numFmtId="164" fontId="43" fillId="11" borderId="0" xfId="0" applyNumberFormat="1" applyFont="1" applyFill="1" applyAlignment="1">
      <alignment horizontal="right" vertical="center"/>
    </xf>
    <xf numFmtId="165" fontId="43" fillId="11" borderId="0" xfId="0" applyNumberFormat="1" applyFont="1" applyFill="1" applyAlignment="1">
      <alignment horizontal="right" vertical="center"/>
    </xf>
    <xf numFmtId="165" fontId="35" fillId="9" borderId="0" xfId="0" applyNumberFormat="1" applyFont="1" applyFill="1" applyAlignment="1">
      <alignment horizontal="right" vertical="center"/>
    </xf>
    <xf numFmtId="164" fontId="44" fillId="0" borderId="0" xfId="0" applyNumberFormat="1" applyFont="1" applyAlignment="1">
      <alignment horizontal="right" vertical="center"/>
    </xf>
    <xf numFmtId="165" fontId="44" fillId="0" borderId="0" xfId="0" applyNumberFormat="1" applyFont="1" applyAlignment="1">
      <alignment horizontal="right" vertical="center"/>
    </xf>
    <xf numFmtId="0" fontId="42" fillId="10" borderId="0" xfId="0" applyFont="1" applyFill="1" applyAlignment="1">
      <alignment horizontal="center" vertical="center" indent="2"/>
    </xf>
    <xf numFmtId="0" fontId="47" fillId="10" borderId="0" xfId="0" applyFont="1" applyFill="1" applyAlignment="1">
      <alignment horizontal="center" vertical="center" wrapText="1"/>
    </xf>
    <xf numFmtId="0" fontId="42" fillId="10" borderId="0" xfId="0" applyFont="1" applyFill="1" applyAlignment="1">
      <alignment horizontal="left" vertical="center" indent="2"/>
    </xf>
    <xf numFmtId="2" fontId="33" fillId="10" borderId="0" xfId="0" applyNumberFormat="1" applyFont="1" applyFill="1" applyAlignment="1">
      <alignment horizontal="right" vertical="center"/>
    </xf>
    <xf numFmtId="2" fontId="33" fillId="12" borderId="0" xfId="0" applyNumberFormat="1" applyFont="1" applyFill="1" applyAlignment="1">
      <alignment horizontal="right" vertical="center"/>
    </xf>
    <xf numFmtId="0" fontId="42" fillId="12" borderId="0" xfId="0" applyFont="1" applyFill="1" applyAlignment="1">
      <alignment horizontal="left" vertical="center" indent="2"/>
    </xf>
    <xf numFmtId="165" fontId="33" fillId="12" borderId="0" xfId="0" applyNumberFormat="1" applyFont="1" applyFill="1" applyAlignment="1">
      <alignment horizontal="right" vertical="center"/>
    </xf>
    <xf numFmtId="0" fontId="48" fillId="12" borderId="0" xfId="0" applyFont="1" applyFill="1" applyAlignment="1">
      <alignment horizontal="left" vertical="center" indent="2"/>
    </xf>
    <xf numFmtId="0" fontId="42" fillId="11" borderId="0" xfId="0" applyFont="1" applyFill="1" applyAlignment="1">
      <alignment horizontal="left" vertical="center" indent="2"/>
    </xf>
    <xf numFmtId="164" fontId="49" fillId="11" borderId="0" xfId="0" applyNumberFormat="1" applyFont="1" applyFill="1" applyAlignment="1">
      <alignment horizontal="right" vertical="center"/>
    </xf>
    <xf numFmtId="0" fontId="35" fillId="0" borderId="0" xfId="0" applyFont="1" applyAlignment="1">
      <alignment horizontal="left" vertical="center"/>
    </xf>
    <xf numFmtId="0" fontId="46" fillId="0" borderId="0" xfId="0" applyFont="1" applyAlignment="1">
      <alignment horizontal="left" vertical="center"/>
    </xf>
    <xf numFmtId="167" fontId="44" fillId="0" borderId="0" xfId="0" applyNumberFormat="1" applyFont="1" applyAlignment="1">
      <alignment horizontal="right" vertical="center"/>
    </xf>
    <xf numFmtId="167" fontId="33" fillId="0" borderId="0" xfId="0" applyNumberFormat="1" applyFont="1" applyAlignment="1">
      <alignment horizontal="right" vertical="center"/>
    </xf>
    <xf numFmtId="0" fontId="33" fillId="0" borderId="0" xfId="0" applyFont="1" applyAlignment="1">
      <alignment horizontal="left" vertical="center"/>
    </xf>
    <xf numFmtId="0" fontId="36" fillId="0" borderId="0" xfId="0" applyFont="1" applyAlignment="1">
      <alignment horizontal="left" vertical="center"/>
    </xf>
    <xf numFmtId="0" fontId="32" fillId="10" borderId="0" xfId="0" applyFont="1" applyFill="1" applyAlignment="1">
      <alignment horizontal="right" vertical="center"/>
    </xf>
    <xf numFmtId="1" fontId="43" fillId="12" borderId="0" xfId="0" applyNumberFormat="1" applyFont="1" applyFill="1" applyAlignment="1">
      <alignment horizontal="right" vertical="center"/>
    </xf>
    <xf numFmtId="1" fontId="43" fillId="10" borderId="0" xfId="0" applyNumberFormat="1" applyFont="1" applyFill="1" applyAlignment="1">
      <alignment horizontal="right" vertical="center"/>
    </xf>
    <xf numFmtId="0" fontId="48" fillId="10" borderId="0" xfId="0" applyFont="1" applyFill="1" applyAlignment="1">
      <alignment horizontal="left" vertical="center" indent="2"/>
    </xf>
    <xf numFmtId="0" fontId="42" fillId="12" borderId="0" xfId="0" applyFont="1" applyFill="1" applyAlignment="1">
      <alignment horizontal="center" vertical="center" indent="2"/>
    </xf>
    <xf numFmtId="0" fontId="32" fillId="12" borderId="0" xfId="0" applyFont="1" applyFill="1" applyAlignment="1">
      <alignment horizontal="right" vertical="center"/>
    </xf>
    <xf numFmtId="0" fontId="47" fillId="12" borderId="0" xfId="0" applyFont="1" applyFill="1" applyAlignment="1">
      <alignment horizontal="center" vertical="center" wrapText="1"/>
    </xf>
    <xf numFmtId="0" fontId="11" fillId="6" borderId="0" xfId="0" applyFont="1" applyFill="1" applyAlignment="1">
      <alignment horizontal="center" vertical="center"/>
    </xf>
    <xf numFmtId="0" fontId="38" fillId="12" borderId="0" xfId="0" applyFont="1" applyFill="1" applyAlignment="1">
      <alignment horizontal="left" vertical="center" indent="2"/>
    </xf>
    <xf numFmtId="166" fontId="44" fillId="0" borderId="0" xfId="0" applyNumberFormat="1" applyFont="1" applyAlignment="1">
      <alignment horizontal="right" vertical="center"/>
    </xf>
    <xf numFmtId="169" fontId="35" fillId="5" borderId="0" xfId="0" applyNumberFormat="1" applyFont="1" applyFill="1" applyAlignment="1">
      <alignment horizontal="right" vertical="center"/>
    </xf>
    <xf numFmtId="169" fontId="44" fillId="0" borderId="0" xfId="0" applyNumberFormat="1" applyFont="1" applyAlignment="1">
      <alignment horizontal="right" vertical="center"/>
    </xf>
    <xf numFmtId="0" fontId="11" fillId="6" borderId="0" xfId="0" applyFont="1" applyFill="1" applyAlignment="1">
      <alignment horizontal="left" vertical="center" indent="1"/>
    </xf>
    <xf numFmtId="165" fontId="50" fillId="12" borderId="0" xfId="0" applyNumberFormat="1" applyFont="1" applyFill="1" applyAlignment="1">
      <alignment horizontal="right" vertical="center"/>
    </xf>
    <xf numFmtId="167" fontId="51" fillId="10" borderId="0" xfId="0" applyNumberFormat="1" applyFont="1" applyFill="1" applyAlignment="1">
      <alignment horizontal="right" vertical="center"/>
    </xf>
    <xf numFmtId="165" fontId="50" fillId="10" borderId="0" xfId="0" applyNumberFormat="1" applyFont="1" applyFill="1" applyAlignment="1">
      <alignment horizontal="right" vertical="center"/>
    </xf>
    <xf numFmtId="167" fontId="50" fillId="10" borderId="0" xfId="0" applyNumberFormat="1" applyFont="1" applyFill="1" applyAlignment="1">
      <alignment horizontal="right" vertical="center"/>
    </xf>
    <xf numFmtId="167" fontId="50" fillId="12" borderId="0" xfId="0" applyNumberFormat="1" applyFont="1" applyFill="1" applyAlignment="1">
      <alignment horizontal="right" vertical="center"/>
    </xf>
    <xf numFmtId="0" fontId="21" fillId="10" borderId="0" xfId="0" applyFont="1" applyFill="1" applyAlignment="1">
      <alignment horizontal="right" vertical="center"/>
    </xf>
    <xf numFmtId="171" fontId="50" fillId="12" borderId="0" xfId="0" applyNumberFormat="1" applyFont="1" applyFill="1" applyAlignment="1">
      <alignment horizontal="right" vertical="center"/>
    </xf>
    <xf numFmtId="164" fontId="50" fillId="10" borderId="0" xfId="0" applyNumberFormat="1" applyFont="1" applyFill="1" applyAlignment="1">
      <alignment horizontal="right" vertical="center"/>
    </xf>
    <xf numFmtId="0" fontId="52" fillId="10" borderId="0" xfId="0" applyFont="1" applyFill="1" applyAlignment="1">
      <alignment horizontal="right" vertical="center"/>
    </xf>
    <xf numFmtId="172" fontId="33" fillId="12" borderId="0" xfId="0" applyNumberFormat="1" applyFont="1" applyFill="1" applyAlignment="1">
      <alignment horizontal="right" vertical="center"/>
    </xf>
    <xf numFmtId="166" fontId="50" fillId="10" borderId="0" xfId="0" applyNumberFormat="1" applyFont="1" applyFill="1" applyAlignment="1">
      <alignment horizontal="right" vertical="center"/>
    </xf>
    <xf numFmtId="167" fontId="51" fillId="12" borderId="0" xfId="0" applyNumberFormat="1" applyFont="1" applyFill="1" applyAlignment="1">
      <alignment horizontal="right" vertical="center"/>
    </xf>
    <xf numFmtId="0" fontId="52" fillId="12" borderId="0" xfId="0" applyFont="1" applyFill="1" applyAlignment="1">
      <alignment horizontal="right" vertical="center"/>
    </xf>
    <xf numFmtId="169" fontId="35" fillId="10" borderId="0" xfId="0" applyNumberFormat="1" applyFont="1" applyFill="1" applyAlignment="1">
      <alignment horizontal="right" vertical="center"/>
    </xf>
    <xf numFmtId="169" fontId="50" fillId="12" borderId="0" xfId="0" applyNumberFormat="1" applyFont="1" applyFill="1" applyAlignment="1">
      <alignment horizontal="right" vertical="center"/>
    </xf>
    <xf numFmtId="166" fontId="33" fillId="12" borderId="0" xfId="0" applyNumberFormat="1" applyFont="1" applyFill="1" applyAlignment="1">
      <alignment horizontal="right" vertical="center"/>
    </xf>
    <xf numFmtId="166" fontId="33" fillId="10" borderId="0" xfId="0" applyNumberFormat="1" applyFont="1" applyFill="1" applyAlignment="1">
      <alignment horizontal="right" vertical="center"/>
    </xf>
    <xf numFmtId="0" fontId="51" fillId="12" borderId="0" xfId="0" applyFont="1" applyFill="1" applyAlignment="1">
      <alignment horizontal="right" vertical="center"/>
    </xf>
    <xf numFmtId="169" fontId="33" fillId="0" borderId="0" xfId="0" applyNumberFormat="1" applyFont="1" applyAlignment="1">
      <alignment horizontal="right" vertical="center"/>
    </xf>
    <xf numFmtId="0" fontId="44" fillId="0" borderId="0" xfId="0" applyFont="1" applyAlignment="1">
      <alignment horizontal="left" indent="1"/>
    </xf>
    <xf numFmtId="168" fontId="44" fillId="0" borderId="0" xfId="0" applyNumberFormat="1" applyFont="1" applyAlignment="1">
      <alignment horizontal="right" vertical="center"/>
    </xf>
    <xf numFmtId="0" fontId="44" fillId="0" borderId="0" xfId="0" applyFont="1" applyAlignment="1">
      <alignment horizontal="center"/>
    </xf>
    <xf numFmtId="169" fontId="45" fillId="0" borderId="0" xfId="0" applyNumberFormat="1" applyFont="1" applyAlignment="1">
      <alignment horizontal="right" vertical="center"/>
    </xf>
    <xf numFmtId="0" fontId="44" fillId="0" borderId="0" xfId="0" applyFont="1" applyAlignment="1">
      <alignment horizontal="right"/>
    </xf>
    <xf numFmtId="169" fontId="35" fillId="0" borderId="0" xfId="0" applyNumberFormat="1" applyFont="1" applyAlignment="1">
      <alignment horizontal="right" vertical="center"/>
    </xf>
    <xf numFmtId="0" fontId="54" fillId="0" borderId="0" xfId="0" applyFont="1" applyAlignment="1">
      <alignment horizontal="left" indent="1"/>
    </xf>
    <xf numFmtId="167" fontId="55" fillId="0" borderId="0" xfId="0" applyNumberFormat="1" applyFont="1"/>
    <xf numFmtId="169" fontId="45" fillId="0" borderId="0" xfId="0" applyNumberFormat="1" applyFont="1" applyAlignment="1">
      <alignment horizontal="right"/>
    </xf>
    <xf numFmtId="0" fontId="11" fillId="6" borderId="6" xfId="0" applyFont="1" applyFill="1" applyBorder="1" applyAlignment="1">
      <alignment horizontal="center" vertical="center" wrapText="1" indent="1"/>
    </xf>
    <xf numFmtId="0" fontId="11" fillId="6" borderId="4" xfId="0" applyFont="1" applyFill="1" applyBorder="1" applyAlignment="1">
      <alignment vertical="center" wrapText="1" indent="1"/>
    </xf>
    <xf numFmtId="0" fontId="11" fillId="6" borderId="9" xfId="0" applyFont="1" applyFill="1" applyBorder="1" applyAlignment="1">
      <alignment vertical="center" wrapText="1" indent="1"/>
    </xf>
    <xf numFmtId="0" fontId="11" fillId="16" borderId="0" xfId="0" applyFont="1" applyFill="1" applyAlignment="1">
      <alignment horizontal="center" vertical="center" wrapText="1"/>
    </xf>
    <xf numFmtId="0" fontId="26" fillId="12" borderId="0" xfId="0" applyFont="1" applyFill="1" applyAlignment="1">
      <alignment horizontal="center" vertical="center" wrapText="1"/>
    </xf>
    <xf numFmtId="0" fontId="27" fillId="12" borderId="0" xfId="0" applyFont="1" applyFill="1" applyAlignment="1">
      <alignment horizontal="center" vertical="center" wrapText="1"/>
    </xf>
    <xf numFmtId="0" fontId="28" fillId="12" borderId="0" xfId="0" applyFont="1" applyFill="1" applyAlignment="1">
      <alignment horizontal="center" vertical="center" wrapText="1"/>
    </xf>
    <xf numFmtId="0" fontId="29" fillId="12" borderId="0" xfId="0" applyFont="1" applyFill="1" applyAlignment="1">
      <alignment horizontal="center" vertical="center" wrapText="1"/>
    </xf>
    <xf numFmtId="0" fontId="12" fillId="13" borderId="0" xfId="0" applyFont="1" applyFill="1" applyAlignment="1">
      <alignment horizontal="center" vertical="center" wrapText="1"/>
    </xf>
    <xf numFmtId="0" fontId="11" fillId="6" borderId="6" xfId="0" applyFont="1" applyFill="1" applyBorder="1" applyAlignment="1">
      <alignment vertical="center" wrapText="1" indent="1"/>
    </xf>
    <xf numFmtId="0" fontId="11" fillId="19" borderId="0" xfId="0" applyFont="1" applyFill="1" applyAlignment="1">
      <alignment horizontal="center" vertical="center" wrapText="1"/>
    </xf>
    <xf numFmtId="0" fontId="14" fillId="0" borderId="0" xfId="0" applyFont="1" applyAlignment="1">
      <alignment vertical="center" wrapText="1"/>
    </xf>
    <xf numFmtId="0" fontId="7" fillId="10" borderId="7" xfId="0" applyFont="1" applyFill="1" applyBorder="1" applyAlignment="1">
      <alignment horizontal="center" vertical="center" wrapText="1"/>
    </xf>
    <xf numFmtId="0" fontId="7" fillId="12" borderId="7"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5" xfId="0" applyFont="1" applyFill="1" applyBorder="1" applyAlignment="1">
      <alignment vertical="center" wrapText="1"/>
    </xf>
    <xf numFmtId="0" fontId="11" fillId="6" borderId="6"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4" fillId="6" borderId="0" xfId="0" applyFont="1" applyFill="1" applyAlignment="1">
      <alignment horizontal="left" vertical="center" wrapText="1" indent="1"/>
    </xf>
    <xf numFmtId="0" fontId="0" fillId="0" borderId="0" xfId="0" applyAlignment="1">
      <alignment vertical="center" wrapText="1"/>
    </xf>
    <xf numFmtId="0" fontId="5" fillId="0" borderId="7" xfId="0" applyFont="1" applyBorder="1" applyAlignment="1">
      <alignment vertical="center" wrapText="1"/>
    </xf>
    <xf numFmtId="0" fontId="3" fillId="0" borderId="10" xfId="0" applyFont="1" applyBorder="1" applyAlignment="1">
      <alignment vertical="center" wrapText="1"/>
    </xf>
    <xf numFmtId="0" fontId="0" fillId="0" borderId="3" xfId="0" applyBorder="1" applyAlignment="1">
      <alignment vertical="center" wrapText="1"/>
    </xf>
    <xf numFmtId="0" fontId="0" fillId="10" borderId="0" xfId="0" applyFill="1" applyAlignment="1">
      <alignment vertical="center" wrapText="1"/>
    </xf>
    <xf numFmtId="0" fontId="3" fillId="10" borderId="10" xfId="0" applyFont="1" applyFill="1" applyBorder="1" applyAlignment="1">
      <alignment vertical="center" wrapText="1"/>
    </xf>
    <xf numFmtId="0" fontId="0" fillId="0" borderId="14" xfId="0" applyBorder="1" applyAlignment="1">
      <alignment vertical="center" wrapText="1"/>
    </xf>
    <xf numFmtId="0" fontId="0" fillId="0" borderId="2" xfId="0" applyBorder="1" applyAlignment="1">
      <alignment vertical="center" wrapText="1"/>
    </xf>
    <xf numFmtId="0" fontId="0" fillId="0" borderId="17" xfId="0" applyBorder="1" applyAlignment="1">
      <alignment vertical="center" wrapText="1"/>
    </xf>
    <xf numFmtId="0" fontId="7" fillId="10" borderId="0" xfId="0" applyFont="1" applyFill="1" applyAlignment="1">
      <alignment horizontal="center" vertical="center" wrapText="1"/>
    </xf>
    <xf numFmtId="0" fontId="22" fillId="10" borderId="0" xfId="0" applyFont="1" applyFill="1" applyAlignment="1">
      <alignment vertical="center" wrapText="1"/>
    </xf>
    <xf numFmtId="0" fontId="9" fillId="10" borderId="0" xfId="0" applyFont="1" applyFill="1" applyAlignment="1">
      <alignment vertical="center" wrapText="1"/>
    </xf>
    <xf numFmtId="0" fontId="6" fillId="10" borderId="0" xfId="0" applyFont="1" applyFill="1" applyAlignment="1">
      <alignment horizontal="center" vertical="center" wrapText="1"/>
    </xf>
    <xf numFmtId="0" fontId="7" fillId="12" borderId="0" xfId="0" applyFont="1" applyFill="1" applyAlignment="1">
      <alignment horizontal="center" vertical="center" wrapText="1"/>
    </xf>
    <xf numFmtId="0" fontId="22" fillId="12" borderId="0" xfId="0" applyFont="1" applyFill="1" applyAlignment="1">
      <alignment vertical="center" wrapText="1"/>
    </xf>
    <xf numFmtId="0" fontId="9" fillId="12" borderId="0" xfId="0" applyFont="1" applyFill="1" applyAlignment="1">
      <alignment vertical="center" wrapText="1"/>
    </xf>
    <xf numFmtId="0" fontId="6" fillId="12" borderId="0" xfId="0" applyFont="1" applyFill="1" applyAlignment="1">
      <alignment horizontal="center" vertical="center" wrapText="1"/>
    </xf>
    <xf numFmtId="0" fontId="5" fillId="0" borderId="8" xfId="0" applyFont="1" applyBorder="1" applyAlignment="1">
      <alignment vertical="center" wrapText="1"/>
    </xf>
    <xf numFmtId="0" fontId="0" fillId="0" borderId="5" xfId="0" applyBorder="1" applyAlignment="1">
      <alignment vertical="center" wrapText="1"/>
    </xf>
    <xf numFmtId="0" fontId="3" fillId="0" borderId="11" xfId="0" applyFont="1" applyBorder="1" applyAlignment="1">
      <alignment vertical="center" wrapText="1"/>
    </xf>
    <xf numFmtId="0" fontId="57" fillId="10" borderId="10" xfId="0" applyFont="1" applyFill="1" applyBorder="1" applyAlignment="1">
      <alignment vertical="center" wrapText="1"/>
    </xf>
    <xf numFmtId="0" fontId="57" fillId="12" borderId="10" xfId="0" applyFont="1" applyFill="1" applyBorder="1" applyAlignment="1">
      <alignment vertical="center" wrapText="1"/>
    </xf>
    <xf numFmtId="0" fontId="57" fillId="10" borderId="11" xfId="0" applyFont="1" applyFill="1" applyBorder="1" applyAlignment="1">
      <alignment vertical="center" wrapText="1"/>
    </xf>
    <xf numFmtId="0" fontId="37" fillId="6" borderId="0" xfId="0" applyFont="1" applyFill="1" applyAlignment="1">
      <alignment horizontal="left" vertical="center" indent="1"/>
    </xf>
    <xf numFmtId="0" fontId="0" fillId="0" borderId="0" xfId="0"/>
    <xf numFmtId="0" fontId="54" fillId="0" borderId="0" xfId="0" applyFont="1" applyAlignment="1">
      <alignment horizontal="left" indent="1"/>
    </xf>
    <xf numFmtId="0" fontId="32" fillId="3" borderId="0" xfId="0" applyFont="1" applyFill="1" applyAlignment="1">
      <alignment horizontal="left" vertical="center" indent="1"/>
    </xf>
    <xf numFmtId="0" fontId="53" fillId="0" borderId="0" xfId="0" applyFont="1" applyAlignment="1">
      <alignment horizontal="left" indent="1"/>
    </xf>
    <xf numFmtId="0" fontId="23" fillId="7" borderId="0" xfId="0" applyFont="1" applyFill="1" applyAlignment="1">
      <alignment horizontal="left" vertical="center" wrapText="1" indent="1"/>
    </xf>
    <xf numFmtId="0" fontId="6" fillId="9" borderId="0" xfId="0" applyFont="1" applyFill="1" applyAlignment="1">
      <alignment vertical="center" wrapText="1" indent="1"/>
    </xf>
    <xf numFmtId="0" fontId="6" fillId="18" borderId="0" xfId="0" applyFont="1" applyFill="1" applyAlignment="1">
      <alignment vertical="center" wrapText="1" indent="1"/>
    </xf>
    <xf numFmtId="0" fontId="6" fillId="10" borderId="5" xfId="0" applyFont="1" applyFill="1" applyBorder="1" applyAlignment="1">
      <alignment vertical="center" wrapText="1"/>
    </xf>
    <xf numFmtId="0" fontId="0" fillId="0" borderId="5" xfId="0" applyBorder="1"/>
    <xf numFmtId="0" fontId="6" fillId="10" borderId="0" xfId="0" applyFont="1" applyFill="1" applyAlignment="1">
      <alignment vertical="center" wrapText="1"/>
    </xf>
    <xf numFmtId="0" fontId="25" fillId="15" borderId="0" xfId="0" applyFont="1" applyFill="1" applyAlignment="1">
      <alignment vertical="center" wrapText="1" indent="1"/>
    </xf>
    <xf numFmtId="0" fontId="11" fillId="14" borderId="0" xfId="0" applyFont="1" applyFill="1" applyAlignment="1">
      <alignment vertical="center" wrapText="1" indent="1"/>
    </xf>
    <xf numFmtId="0" fontId="6" fillId="12" borderId="0" xfId="0" applyFont="1" applyFill="1" applyAlignment="1">
      <alignment vertical="center" wrapText="1"/>
    </xf>
    <xf numFmtId="0" fontId="11" fillId="16" borderId="0" xfId="0" applyFont="1" applyFill="1" applyAlignment="1">
      <alignment vertical="center" wrapText="1" indent="1"/>
    </xf>
    <xf numFmtId="0" fontId="17" fillId="14" borderId="0" xfId="0" applyFont="1" applyFill="1" applyAlignment="1">
      <alignment vertical="center" wrapText="1" indent="1"/>
    </xf>
    <xf numFmtId="0" fontId="6" fillId="8" borderId="0" xfId="0" applyFont="1" applyFill="1" applyAlignment="1">
      <alignment vertical="center" wrapText="1" indent="1"/>
    </xf>
    <xf numFmtId="0" fontId="6" fillId="12" borderId="5" xfId="0" applyFont="1" applyFill="1" applyBorder="1" applyAlignment="1">
      <alignment vertical="center" wrapText="1"/>
    </xf>
    <xf numFmtId="0" fontId="11" fillId="6" borderId="4" xfId="0" applyFont="1" applyFill="1" applyBorder="1" applyAlignment="1">
      <alignment vertical="center" wrapText="1" indent="1"/>
    </xf>
    <xf numFmtId="0" fontId="0" fillId="0" borderId="4" xfId="0" applyBorder="1"/>
    <xf numFmtId="0" fontId="6" fillId="12" borderId="0" xfId="0" applyFont="1" applyFill="1" applyAlignment="1">
      <alignment vertical="center" wrapText="1" indent="1"/>
    </xf>
    <xf numFmtId="0" fontId="30" fillId="6" borderId="0" xfId="0" applyFont="1" applyFill="1" applyAlignment="1">
      <alignment horizontal="left" vertical="center" wrapText="1" indent="1"/>
    </xf>
    <xf numFmtId="0" fontId="56" fillId="6" borderId="0" xfId="0" applyFont="1" applyFill="1" applyAlignment="1">
      <alignment horizontal="left" vertical="center" wrapText="1" indent="1"/>
    </xf>
    <xf numFmtId="0" fontId="11" fillId="17" borderId="0" xfId="0" applyFont="1" applyFill="1" applyAlignment="1">
      <alignment vertical="center" wrapText="1" indent="1"/>
    </xf>
    <xf numFmtId="0" fontId="0" fillId="0" borderId="0" xfId="0" applyAlignment="1">
      <alignment wrapText="1"/>
    </xf>
    <xf numFmtId="0" fontId="20" fillId="8" borderId="0" xfId="0" applyFont="1" applyFill="1" applyAlignment="1">
      <alignment vertical="center" wrapText="1" indent="1"/>
    </xf>
    <xf numFmtId="0" fontId="6" fillId="21" borderId="0" xfId="0" applyFont="1" applyFill="1" applyAlignment="1">
      <alignment vertical="center" wrapText="1" indent="1"/>
    </xf>
    <xf numFmtId="0" fontId="13" fillId="6" borderId="0" xfId="0" applyFont="1" applyFill="1" applyAlignment="1">
      <alignment horizontal="left" vertical="center" wrapText="1" indent="1"/>
    </xf>
    <xf numFmtId="0" fontId="13" fillId="23" borderId="0" xfId="0" applyFont="1" applyFill="1" applyAlignment="1">
      <alignment vertical="center" wrapText="1" indent="1"/>
    </xf>
    <xf numFmtId="0" fontId="26" fillId="12" borderId="14" xfId="0" applyFont="1" applyFill="1" applyBorder="1" applyAlignment="1">
      <alignment horizontal="center" vertical="center" wrapText="1"/>
    </xf>
    <xf numFmtId="0" fontId="0" fillId="0" borderId="2" xfId="0" applyBorder="1"/>
    <xf numFmtId="0" fontId="2" fillId="12" borderId="17" xfId="0" applyFont="1" applyFill="1" applyBorder="1" applyAlignment="1">
      <alignment horizontal="left" vertical="center" wrapText="1"/>
    </xf>
    <xf numFmtId="0" fontId="0" fillId="0" borderId="17" xfId="0" applyBorder="1"/>
    <xf numFmtId="0" fontId="18" fillId="6" borderId="0" xfId="0" applyFont="1" applyFill="1" applyAlignment="1">
      <alignment horizontal="left" vertical="center" indent="1"/>
    </xf>
    <xf numFmtId="0" fontId="2" fillId="10" borderId="17" xfId="0" applyFont="1" applyFill="1" applyBorder="1" applyAlignment="1">
      <alignment horizontal="left" vertical="center" wrapText="1"/>
    </xf>
    <xf numFmtId="0" fontId="13" fillId="20" borderId="19" xfId="0" applyFont="1" applyFill="1" applyBorder="1" applyAlignment="1">
      <alignment vertical="center" wrapText="1" indent="1"/>
    </xf>
    <xf numFmtId="0" fontId="0" fillId="0" borderId="19" xfId="0" applyBorder="1"/>
    <xf numFmtId="0" fontId="2" fillId="12" borderId="17" xfId="0" applyFont="1" applyFill="1" applyBorder="1" applyAlignment="1">
      <alignment horizontal="left" vertical="center" wrapText="1" indent="1"/>
    </xf>
    <xf numFmtId="0" fontId="13" fillId="22" borderId="0" xfId="0" applyFont="1" applyFill="1" applyAlignment="1">
      <alignment vertical="center" wrapText="1" indent="1"/>
    </xf>
    <xf numFmtId="0" fontId="13" fillId="20" borderId="0" xfId="0" applyFont="1" applyFill="1" applyAlignment="1">
      <alignment vertical="center" wrapText="1" indent="1"/>
    </xf>
    <xf numFmtId="0" fontId="9" fillId="7" borderId="5" xfId="0" applyFont="1" applyFill="1" applyBorder="1" applyAlignment="1">
      <alignment horizontal="left" vertical="center" wrapText="1" indent="1"/>
    </xf>
    <xf numFmtId="0" fontId="16" fillId="6" borderId="21" xfId="0" applyFont="1" applyFill="1" applyBorder="1" applyAlignment="1">
      <alignment horizontal="left" vertical="center" wrapText="1" indent="1"/>
    </xf>
    <xf numFmtId="0" fontId="0" fillId="0" borderId="12" xfId="0" applyBorder="1"/>
    <xf numFmtId="0" fontId="0" fillId="0" borderId="16" xfId="0" applyBorder="1"/>
    <xf numFmtId="0" fontId="29" fillId="10" borderId="14" xfId="0" applyFont="1" applyFill="1" applyBorder="1" applyAlignment="1">
      <alignment horizontal="center" vertical="center" wrapText="1"/>
    </xf>
    <xf numFmtId="0" fontId="5" fillId="11" borderId="17" xfId="0" applyFont="1" applyFill="1" applyBorder="1" applyAlignment="1">
      <alignment horizontal="left" vertical="center" wrapText="1"/>
    </xf>
    <xf numFmtId="0" fontId="7" fillId="7" borderId="20" xfId="0" applyFont="1" applyFill="1" applyBorder="1" applyAlignment="1">
      <alignment horizontal="left" vertical="center" wrapText="1" indent="1"/>
    </xf>
    <xf numFmtId="0" fontId="28" fillId="12" borderId="14" xfId="0" applyFont="1" applyFill="1" applyBorder="1" applyAlignment="1">
      <alignment horizontal="center" vertical="center" wrapText="1"/>
    </xf>
    <xf numFmtId="0" fontId="2" fillId="12" borderId="18" xfId="0" applyFont="1" applyFill="1" applyBorder="1" applyAlignment="1">
      <alignment horizontal="left" vertical="center" wrapText="1"/>
    </xf>
    <xf numFmtId="0" fontId="0" fillId="0" borderId="13" xfId="0" applyBorder="1"/>
    <xf numFmtId="0" fontId="0" fillId="0" borderId="18" xfId="0" applyBorder="1"/>
    <xf numFmtId="0" fontId="2" fillId="10" borderId="17" xfId="0" applyFont="1" applyFill="1" applyBorder="1" applyAlignment="1">
      <alignment horizontal="left" vertical="center" wrapText="1" indent="1"/>
    </xf>
    <xf numFmtId="0" fontId="12" fillId="13" borderId="14" xfId="0" applyFont="1" applyFill="1" applyBorder="1" applyAlignment="1">
      <alignment horizontal="center" vertical="center" wrapText="1"/>
    </xf>
    <xf numFmtId="0" fontId="15" fillId="7" borderId="20" xfId="0" applyFont="1" applyFill="1" applyBorder="1" applyAlignment="1">
      <alignment horizontal="left" vertical="center" wrapText="1" indent="1"/>
    </xf>
    <xf numFmtId="0" fontId="13" fillId="24" borderId="0" xfId="0" applyFont="1" applyFill="1" applyAlignment="1">
      <alignment vertical="center" wrapText="1" indent="1"/>
    </xf>
    <xf numFmtId="0" fontId="27" fillId="10" borderId="14" xfId="0" applyFont="1" applyFill="1" applyBorder="1" applyAlignment="1">
      <alignment horizontal="center" vertical="center" wrapText="1"/>
    </xf>
    <xf numFmtId="0" fontId="13" fillId="17" borderId="0" xfId="0" applyFont="1" applyFill="1" applyAlignment="1">
      <alignment vertical="center" wrapText="1" indent="1"/>
    </xf>
    <xf numFmtId="0" fontId="5" fillId="12" borderId="17" xfId="0" applyFont="1" applyFill="1" applyBorder="1" applyAlignment="1">
      <alignment horizontal="left" vertical="center" wrapText="1" indent="1"/>
    </xf>
    <xf numFmtId="0" fontId="39" fillId="14" borderId="0" xfId="0" applyFont="1" applyFill="1" applyAlignment="1">
      <alignment horizontal="left" vertical="center" indent="1"/>
    </xf>
    <xf numFmtId="0" fontId="38" fillId="7" borderId="0" xfId="0" applyFont="1" applyFill="1" applyAlignment="1">
      <alignment horizontal="left" vertical="center" indent="1"/>
    </xf>
    <xf numFmtId="0" fontId="32" fillId="6" borderId="0" xfId="0" applyFont="1" applyFill="1" applyAlignment="1">
      <alignment horizontal="left" vertical="center" indent="1"/>
    </xf>
    <xf numFmtId="0" fontId="42" fillId="12" borderId="0" xfId="0" applyFont="1" applyFill="1" applyAlignment="1">
      <alignment horizontal="left" vertical="center" indent="2"/>
    </xf>
    <xf numFmtId="0" fontId="36" fillId="10" borderId="0" xfId="0" applyFont="1" applyFill="1" applyAlignment="1">
      <alignment horizontal="right" vertical="center"/>
    </xf>
    <xf numFmtId="0" fontId="36" fillId="12" borderId="0" xfId="0" applyFont="1" applyFill="1" applyAlignment="1">
      <alignment horizontal="right" vertical="center"/>
    </xf>
    <xf numFmtId="0" fontId="42" fillId="10" borderId="0" xfId="0" applyFont="1" applyFill="1" applyAlignment="1">
      <alignment horizontal="left" vertical="center" indent="2"/>
    </xf>
    <xf numFmtId="0" fontId="31" fillId="0" borderId="0" xfId="0" applyFont="1" applyAlignment="1">
      <alignment horizontal="left" vertical="center"/>
    </xf>
    <xf numFmtId="0" fontId="38" fillId="7" borderId="0" xfId="0" applyFont="1" applyFill="1" applyAlignment="1">
      <alignment vertical="center" indent="1"/>
    </xf>
    <xf numFmtId="0" fontId="11" fillId="25" borderId="0" xfId="0" applyFont="1" applyFill="1"/>
    <xf numFmtId="173" fontId="60" fillId="0" borderId="0" xfId="0" applyNumberFormat="1" applyFont="1"/>
    <xf numFmtId="173" fontId="14" fillId="0" borderId="0" xfId="0" applyNumberFormat="1" applyFont="1"/>
    <xf numFmtId="174" fontId="60" fillId="0" borderId="0" xfId="0" applyNumberFormat="1" applyFont="1"/>
    <xf numFmtId="175" fontId="14" fillId="0" borderId="0" xfId="0" applyNumberFormat="1" applyFont="1"/>
    <xf numFmtId="2" fontId="60" fillId="0" borderId="0" xfId="0" applyNumberFormat="1" applyFont="1"/>
    <xf numFmtId="175" fontId="60" fillId="0" borderId="0" xfId="0" applyNumberFormat="1" applyFont="1"/>
    <xf numFmtId="174" fontId="60" fillId="0" borderId="22" xfId="0" applyNumberFormat="1" applyFont="1" applyBorder="1"/>
  </cellXfs>
  <cellStyles count="1">
    <cellStyle name="Normal" xfId="0" builtinId="0"/>
  </cellStyles>
  <dxfs count="3">
    <dxf>
      <fill>
        <patternFill patternType="solid">
          <fgColor rgb="FFFCE4D6"/>
        </patternFill>
      </fill>
    </dxf>
    <dxf>
      <fill>
        <patternFill patternType="solid">
          <fgColor rgb="FFFCE4D6"/>
        </patternFill>
      </fill>
    </dxf>
    <dxf>
      <fill>
        <patternFill patternType="solid">
          <fgColor rgb="FFFCE4D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1087"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9725325-7540-4F0C-A252-FB33297BCA26}">
  <we:reference id="WA200009404" version="1.0.0.8" store="Omex" storeType="OMEX"/>
  <we:alternateReferences>
    <we:reference id="WA200009404" version="1.0.0.8" store="WA200009404" storeType="OMEX"/>
  </we:alternateReferences>
  <we:properties>
    <we:property name="claude.fileId" value="&quot;f5c29e23-2ebf-4bfd-b8cc-5c65da4ce71e&quot;"/>
  </we:properties>
  <we:bindings/>
  <we:snapshot xmlns:r="http://schemas.openxmlformats.org/officeDocument/2006/relationships"/>
</we:webextension>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F3864"/>
  </sheetPr>
  <dimension ref="B2:G87"/>
  <sheetViews>
    <sheetView topLeftCell="A8" zoomScale="70" zoomScaleNormal="70" workbookViewId="0">
      <selection activeCell="C35" sqref="C35:H35"/>
    </sheetView>
  </sheetViews>
  <sheetFormatPr defaultRowHeight="14.25" x14ac:dyDescent="0.45"/>
  <cols>
    <col min="1" max="1" width="3.1328125" customWidth="1"/>
    <col min="2" max="2" width="45.265625" customWidth="1"/>
    <col min="3" max="3" width="42.73046875" customWidth="1"/>
    <col min="4" max="4" width="71.1328125" customWidth="1"/>
    <col min="5" max="5" width="60.6640625" customWidth="1"/>
    <col min="6" max="6" width="33.86328125" customWidth="1"/>
    <col min="7" max="7" width="60.3984375" customWidth="1"/>
    <col min="8" max="8" width="5.265625" customWidth="1"/>
  </cols>
  <sheetData>
    <row r="2" spans="2:7" ht="32.1" customHeight="1" x14ac:dyDescent="0.45">
      <c r="B2" s="206" t="s">
        <v>0</v>
      </c>
      <c r="C2" s="185"/>
      <c r="D2" s="185"/>
      <c r="E2" s="185"/>
      <c r="F2" s="185"/>
      <c r="G2" s="185"/>
    </row>
    <row r="3" spans="2:7" ht="32.1" customHeight="1" x14ac:dyDescent="0.45">
      <c r="B3" s="189" t="s">
        <v>1</v>
      </c>
      <c r="C3" s="185"/>
      <c r="D3" s="185"/>
      <c r="E3" s="185"/>
      <c r="F3" s="185"/>
      <c r="G3" s="185"/>
    </row>
    <row r="4" spans="2:7" ht="32.1" customHeight="1" x14ac:dyDescent="0.45">
      <c r="B4" s="153"/>
      <c r="C4" s="153"/>
      <c r="D4" s="153"/>
      <c r="E4" s="153"/>
      <c r="F4" s="153"/>
      <c r="G4" s="153"/>
    </row>
    <row r="5" spans="2:7" ht="32.1" customHeight="1" x14ac:dyDescent="0.45">
      <c r="B5" s="199" t="s">
        <v>2</v>
      </c>
      <c r="C5" s="185"/>
      <c r="D5" s="185"/>
      <c r="E5" s="185"/>
      <c r="F5" s="185"/>
      <c r="G5" s="185"/>
    </row>
    <row r="6" spans="2:7" ht="32.1" customHeight="1" x14ac:dyDescent="0.45">
      <c r="B6" s="204" t="s">
        <v>3</v>
      </c>
      <c r="C6" s="185"/>
      <c r="D6" s="185"/>
      <c r="E6" s="185"/>
      <c r="F6" s="185"/>
      <c r="G6" s="185"/>
    </row>
    <row r="7" spans="2:7" ht="32.1" customHeight="1" x14ac:dyDescent="0.45">
      <c r="B7" s="153"/>
      <c r="C7" s="153"/>
      <c r="D7" s="153"/>
      <c r="E7" s="153"/>
      <c r="F7" s="153"/>
      <c r="G7" s="153"/>
    </row>
    <row r="8" spans="2:7" ht="32.1" customHeight="1" x14ac:dyDescent="0.45">
      <c r="B8" s="199" t="s">
        <v>4</v>
      </c>
      <c r="C8" s="185"/>
      <c r="D8" s="185"/>
      <c r="E8" s="185"/>
      <c r="F8" s="185"/>
      <c r="G8" s="185"/>
    </row>
    <row r="9" spans="2:7" ht="32.1" customHeight="1" x14ac:dyDescent="0.45">
      <c r="B9" s="195" t="s">
        <v>5</v>
      </c>
      <c r="C9" s="185"/>
      <c r="D9" s="185"/>
      <c r="E9" s="185"/>
      <c r="F9" s="185"/>
      <c r="G9" s="185"/>
    </row>
    <row r="10" spans="2:7" ht="32.1" customHeight="1" x14ac:dyDescent="0.45">
      <c r="B10" s="142" t="s">
        <v>6</v>
      </c>
      <c r="C10" s="143" t="s">
        <v>7</v>
      </c>
      <c r="D10" s="202" t="s">
        <v>8</v>
      </c>
      <c r="E10" s="203"/>
      <c r="F10" s="203"/>
      <c r="G10" s="144" t="s">
        <v>9</v>
      </c>
    </row>
    <row r="11" spans="2:7" ht="32.1" customHeight="1" x14ac:dyDescent="0.45">
      <c r="B11" s="154">
        <v>1</v>
      </c>
      <c r="C11" s="24" t="s">
        <v>10</v>
      </c>
      <c r="D11" s="194" t="s">
        <v>11</v>
      </c>
      <c r="E11" s="185"/>
      <c r="F11" s="185"/>
      <c r="G11" s="181" t="s">
        <v>12</v>
      </c>
    </row>
    <row r="12" spans="2:7" ht="32.1" customHeight="1" x14ac:dyDescent="0.45">
      <c r="B12" s="155">
        <v>2</v>
      </c>
      <c r="C12" s="26" t="s">
        <v>13</v>
      </c>
      <c r="D12" s="197" t="s">
        <v>14</v>
      </c>
      <c r="E12" s="185"/>
      <c r="F12" s="185"/>
      <c r="G12" s="182" t="s">
        <v>15</v>
      </c>
    </row>
    <row r="13" spans="2:7" ht="32.1" customHeight="1" x14ac:dyDescent="0.45">
      <c r="B13" s="154">
        <v>3</v>
      </c>
      <c r="C13" s="24" t="s">
        <v>16</v>
      </c>
      <c r="D13" s="194" t="s">
        <v>17</v>
      </c>
      <c r="E13" s="185"/>
      <c r="F13" s="185"/>
      <c r="G13" s="181" t="s">
        <v>18</v>
      </c>
    </row>
    <row r="14" spans="2:7" ht="32.1" customHeight="1" x14ac:dyDescent="0.45">
      <c r="B14" s="155">
        <v>4</v>
      </c>
      <c r="C14" s="26" t="s">
        <v>19</v>
      </c>
      <c r="D14" s="197" t="s">
        <v>20</v>
      </c>
      <c r="E14" s="185"/>
      <c r="F14" s="185"/>
      <c r="G14" s="182" t="s">
        <v>21</v>
      </c>
    </row>
    <row r="15" spans="2:7" ht="32.1" customHeight="1" x14ac:dyDescent="0.45">
      <c r="B15" s="154">
        <v>5</v>
      </c>
      <c r="C15" s="24" t="s">
        <v>22</v>
      </c>
      <c r="D15" s="194" t="s">
        <v>23</v>
      </c>
      <c r="E15" s="185"/>
      <c r="F15" s="185"/>
      <c r="G15" s="181" t="s">
        <v>24</v>
      </c>
    </row>
    <row r="16" spans="2:7" ht="32.1" customHeight="1" x14ac:dyDescent="0.45">
      <c r="B16" s="155">
        <v>6</v>
      </c>
      <c r="C16" s="26" t="s">
        <v>25</v>
      </c>
      <c r="D16" s="197" t="s">
        <v>26</v>
      </c>
      <c r="E16" s="185"/>
      <c r="F16" s="185"/>
      <c r="G16" s="182" t="s">
        <v>27</v>
      </c>
    </row>
    <row r="17" spans="2:7" ht="32.1" customHeight="1" x14ac:dyDescent="0.45">
      <c r="B17" s="154">
        <v>7</v>
      </c>
      <c r="C17" s="24" t="s">
        <v>28</v>
      </c>
      <c r="D17" s="194" t="s">
        <v>29</v>
      </c>
      <c r="E17" s="185"/>
      <c r="F17" s="185"/>
      <c r="G17" s="181" t="s">
        <v>30</v>
      </c>
    </row>
    <row r="18" spans="2:7" ht="32.1" customHeight="1" x14ac:dyDescent="0.45">
      <c r="B18" s="155">
        <v>8</v>
      </c>
      <c r="C18" s="26" t="s">
        <v>31</v>
      </c>
      <c r="D18" s="197" t="s">
        <v>32</v>
      </c>
      <c r="E18" s="185"/>
      <c r="F18" s="185"/>
      <c r="G18" s="182" t="s">
        <v>33</v>
      </c>
    </row>
    <row r="19" spans="2:7" ht="32.1" customHeight="1" x14ac:dyDescent="0.45">
      <c r="B19" s="156">
        <v>9</v>
      </c>
      <c r="C19" s="157" t="s">
        <v>34</v>
      </c>
      <c r="D19" s="192" t="s">
        <v>35</v>
      </c>
      <c r="E19" s="193"/>
      <c r="F19" s="193"/>
      <c r="G19" s="183" t="s">
        <v>36</v>
      </c>
    </row>
    <row r="20" spans="2:7" ht="32.1" customHeight="1" x14ac:dyDescent="0.45">
      <c r="B20" s="153"/>
      <c r="C20" s="153"/>
      <c r="D20" s="153"/>
      <c r="E20" s="153"/>
      <c r="F20" s="153"/>
      <c r="G20" s="153"/>
    </row>
    <row r="21" spans="2:7" ht="32.1" customHeight="1" x14ac:dyDescent="0.45">
      <c r="B21" s="199" t="s">
        <v>37</v>
      </c>
      <c r="C21" s="185"/>
      <c r="D21" s="185"/>
      <c r="E21" s="185"/>
      <c r="F21" s="185"/>
      <c r="G21" s="185"/>
    </row>
    <row r="22" spans="2:7" ht="32.1" customHeight="1" x14ac:dyDescent="0.45">
      <c r="B22" s="195" t="s">
        <v>38</v>
      </c>
      <c r="C22" s="185"/>
      <c r="D22" s="185"/>
      <c r="E22" s="185"/>
      <c r="F22" s="185"/>
      <c r="G22" s="185"/>
    </row>
    <row r="23" spans="2:7" ht="32.1" customHeight="1" x14ac:dyDescent="0.45">
      <c r="B23" s="145" t="s">
        <v>39</v>
      </c>
      <c r="C23" s="24" t="s">
        <v>40</v>
      </c>
      <c r="D23" s="194" t="s">
        <v>41</v>
      </c>
      <c r="E23" s="185"/>
      <c r="F23" s="185"/>
      <c r="G23" s="185"/>
    </row>
    <row r="24" spans="2:7" ht="32.1" customHeight="1" x14ac:dyDescent="0.45">
      <c r="B24" s="145" t="s">
        <v>42</v>
      </c>
      <c r="C24" s="26" t="s">
        <v>43</v>
      </c>
      <c r="D24" s="197" t="s">
        <v>44</v>
      </c>
      <c r="E24" s="185"/>
      <c r="F24" s="185"/>
      <c r="G24" s="185"/>
    </row>
    <row r="25" spans="2:7" ht="32.1" customHeight="1" x14ac:dyDescent="0.45">
      <c r="B25" s="145" t="s">
        <v>45</v>
      </c>
      <c r="C25" s="24" t="s">
        <v>46</v>
      </c>
      <c r="D25" s="194" t="s">
        <v>47</v>
      </c>
      <c r="E25" s="185"/>
      <c r="F25" s="185"/>
      <c r="G25" s="185"/>
    </row>
    <row r="26" spans="2:7" ht="32.1" customHeight="1" x14ac:dyDescent="0.45">
      <c r="B26" s="145" t="s">
        <v>48</v>
      </c>
      <c r="C26" s="26" t="s">
        <v>49</v>
      </c>
      <c r="D26" s="197" t="s">
        <v>50</v>
      </c>
      <c r="E26" s="185"/>
      <c r="F26" s="185"/>
      <c r="G26" s="185"/>
    </row>
    <row r="27" spans="2:7" ht="32.1" customHeight="1" x14ac:dyDescent="0.45">
      <c r="B27" s="145" t="s">
        <v>51</v>
      </c>
      <c r="C27" s="24" t="s">
        <v>52</v>
      </c>
      <c r="D27" s="194" t="s">
        <v>53</v>
      </c>
      <c r="E27" s="185"/>
      <c r="F27" s="185"/>
      <c r="G27" s="185"/>
    </row>
    <row r="28" spans="2:7" ht="32.1" customHeight="1" x14ac:dyDescent="0.45">
      <c r="B28" s="153"/>
      <c r="C28" s="153"/>
      <c r="D28" s="153"/>
      <c r="E28" s="153"/>
      <c r="F28" s="153"/>
      <c r="G28" s="153"/>
    </row>
    <row r="29" spans="2:7" ht="32.1" customHeight="1" x14ac:dyDescent="0.45">
      <c r="B29" s="199" t="s">
        <v>54</v>
      </c>
      <c r="C29" s="185"/>
      <c r="D29" s="185"/>
      <c r="E29" s="185"/>
      <c r="F29" s="185"/>
      <c r="G29" s="185"/>
    </row>
    <row r="30" spans="2:7" ht="32.1" customHeight="1" x14ac:dyDescent="0.45">
      <c r="B30" s="195" t="s">
        <v>55</v>
      </c>
      <c r="C30" s="185"/>
      <c r="D30" s="185"/>
      <c r="E30" s="185"/>
      <c r="F30" s="185"/>
      <c r="G30" s="185"/>
    </row>
    <row r="31" spans="2:7" ht="32.1" customHeight="1" x14ac:dyDescent="0.45">
      <c r="B31" s="146" t="s">
        <v>56</v>
      </c>
      <c r="C31" s="24" t="s">
        <v>57</v>
      </c>
      <c r="D31" s="194" t="s">
        <v>58</v>
      </c>
      <c r="E31" s="185"/>
      <c r="F31" s="185"/>
      <c r="G31" s="185"/>
    </row>
    <row r="32" spans="2:7" ht="32.1" customHeight="1" x14ac:dyDescent="0.45">
      <c r="B32" s="147" t="s">
        <v>59</v>
      </c>
      <c r="C32" s="26" t="s">
        <v>60</v>
      </c>
      <c r="D32" s="197" t="s">
        <v>61</v>
      </c>
      <c r="E32" s="185"/>
      <c r="F32" s="185"/>
      <c r="G32" s="185"/>
    </row>
    <row r="33" spans="2:7" ht="32.1" customHeight="1" x14ac:dyDescent="0.45">
      <c r="B33" s="148" t="s">
        <v>62</v>
      </c>
      <c r="C33" s="24" t="s">
        <v>63</v>
      </c>
      <c r="D33" s="194" t="s">
        <v>64</v>
      </c>
      <c r="E33" s="185"/>
      <c r="F33" s="185"/>
      <c r="G33" s="185"/>
    </row>
    <row r="34" spans="2:7" ht="32.1" customHeight="1" x14ac:dyDescent="0.45">
      <c r="B34" s="149" t="s">
        <v>65</v>
      </c>
      <c r="C34" s="26" t="s">
        <v>66</v>
      </c>
      <c r="D34" s="197" t="s">
        <v>67</v>
      </c>
      <c r="E34" s="185"/>
      <c r="F34" s="185"/>
      <c r="G34" s="185"/>
    </row>
    <row r="35" spans="2:7" ht="32.1" customHeight="1" x14ac:dyDescent="0.45">
      <c r="B35" s="150" t="s">
        <v>68</v>
      </c>
      <c r="C35" s="24" t="s">
        <v>69</v>
      </c>
      <c r="D35" s="194" t="s">
        <v>70</v>
      </c>
      <c r="E35" s="185"/>
      <c r="F35" s="185"/>
      <c r="G35" s="185"/>
    </row>
    <row r="36" spans="2:7" ht="32.1" customHeight="1" x14ac:dyDescent="0.45">
      <c r="B36" s="153"/>
      <c r="C36" s="153"/>
      <c r="D36" s="153"/>
      <c r="E36" s="153"/>
      <c r="F36" s="153"/>
      <c r="G36" s="153"/>
    </row>
    <row r="37" spans="2:7" ht="32.1" customHeight="1" x14ac:dyDescent="0.45">
      <c r="B37" s="199" t="s">
        <v>71</v>
      </c>
      <c r="C37" s="185"/>
      <c r="D37" s="185"/>
      <c r="E37" s="185"/>
      <c r="F37" s="185"/>
      <c r="G37" s="185"/>
    </row>
    <row r="38" spans="2:7" ht="32.1" customHeight="1" x14ac:dyDescent="0.45">
      <c r="B38" s="195" t="s">
        <v>72</v>
      </c>
      <c r="C38" s="185"/>
      <c r="D38" s="185"/>
      <c r="E38" s="185"/>
      <c r="F38" s="185"/>
      <c r="G38" s="185"/>
    </row>
    <row r="39" spans="2:7" ht="32.1" customHeight="1" x14ac:dyDescent="0.45">
      <c r="B39" s="151" t="s">
        <v>73</v>
      </c>
      <c r="C39" s="202" t="s">
        <v>74</v>
      </c>
      <c r="D39" s="203"/>
      <c r="E39" s="144" t="s">
        <v>75</v>
      </c>
      <c r="F39" s="153"/>
      <c r="G39" s="153"/>
    </row>
    <row r="40" spans="2:7" ht="32.1" customHeight="1" x14ac:dyDescent="0.45">
      <c r="B40" s="28" t="s">
        <v>76</v>
      </c>
      <c r="C40" s="197" t="s">
        <v>77</v>
      </c>
      <c r="D40" s="185"/>
      <c r="E40" s="29" t="s">
        <v>78</v>
      </c>
      <c r="F40" s="153"/>
      <c r="G40" s="153"/>
    </row>
    <row r="41" spans="2:7" ht="32.1" customHeight="1" x14ac:dyDescent="0.45">
      <c r="B41" s="30" t="s">
        <v>79</v>
      </c>
      <c r="C41" s="194" t="s">
        <v>80</v>
      </c>
      <c r="D41" s="185"/>
      <c r="E41" s="31" t="s">
        <v>81</v>
      </c>
      <c r="F41" s="153"/>
      <c r="G41" s="153"/>
    </row>
    <row r="42" spans="2:7" ht="32.1" customHeight="1" x14ac:dyDescent="0.45">
      <c r="B42" s="28" t="s">
        <v>82</v>
      </c>
      <c r="C42" s="197" t="s">
        <v>83</v>
      </c>
      <c r="D42" s="185"/>
      <c r="E42" s="29" t="s">
        <v>84</v>
      </c>
      <c r="F42" s="153"/>
      <c r="G42" s="153"/>
    </row>
    <row r="43" spans="2:7" ht="32.1" customHeight="1" x14ac:dyDescent="0.45">
      <c r="B43" s="30" t="s">
        <v>85</v>
      </c>
      <c r="C43" s="194" t="s">
        <v>86</v>
      </c>
      <c r="D43" s="185"/>
      <c r="E43" s="31" t="s">
        <v>87</v>
      </c>
      <c r="F43" s="153"/>
      <c r="G43" s="153"/>
    </row>
    <row r="44" spans="2:7" ht="32.1" customHeight="1" x14ac:dyDescent="0.45">
      <c r="B44" s="28" t="s">
        <v>88</v>
      </c>
      <c r="C44" s="197" t="s">
        <v>89</v>
      </c>
      <c r="D44" s="185"/>
      <c r="E44" s="29" t="s">
        <v>90</v>
      </c>
      <c r="F44" s="153"/>
      <c r="G44" s="153"/>
    </row>
    <row r="45" spans="2:7" ht="32.1" customHeight="1" x14ac:dyDescent="0.45">
      <c r="B45" s="30" t="s">
        <v>91</v>
      </c>
      <c r="C45" s="194" t="s">
        <v>92</v>
      </c>
      <c r="D45" s="185"/>
      <c r="E45" s="31" t="s">
        <v>93</v>
      </c>
      <c r="F45" s="153"/>
      <c r="G45" s="153"/>
    </row>
    <row r="46" spans="2:7" ht="32.1" customHeight="1" x14ac:dyDescent="0.45">
      <c r="B46" s="28" t="s">
        <v>94</v>
      </c>
      <c r="C46" s="197" t="s">
        <v>95</v>
      </c>
      <c r="D46" s="185"/>
      <c r="E46" s="29" t="s">
        <v>96</v>
      </c>
      <c r="F46" s="153"/>
      <c r="G46" s="153"/>
    </row>
    <row r="47" spans="2:7" ht="32.1" customHeight="1" x14ac:dyDescent="0.45">
      <c r="B47" s="30" t="s">
        <v>97</v>
      </c>
      <c r="C47" s="194" t="s">
        <v>98</v>
      </c>
      <c r="D47" s="185"/>
      <c r="E47" s="31" t="s">
        <v>99</v>
      </c>
      <c r="F47" s="153"/>
      <c r="G47" s="153"/>
    </row>
    <row r="48" spans="2:7" ht="32.1" customHeight="1" x14ac:dyDescent="0.45">
      <c r="B48" s="32" t="s">
        <v>100</v>
      </c>
      <c r="C48" s="201" t="s">
        <v>101</v>
      </c>
      <c r="D48" s="193"/>
      <c r="E48" s="33" t="s">
        <v>102</v>
      </c>
      <c r="F48" s="153"/>
      <c r="G48" s="153"/>
    </row>
    <row r="49" spans="2:7" ht="32.1" customHeight="1" x14ac:dyDescent="0.45">
      <c r="B49" s="153"/>
      <c r="C49" s="153"/>
      <c r="D49" s="153"/>
      <c r="E49" s="153"/>
      <c r="F49" s="153"/>
      <c r="G49" s="153"/>
    </row>
    <row r="50" spans="2:7" ht="32.1" customHeight="1" x14ac:dyDescent="0.45">
      <c r="B50" s="199" t="s">
        <v>103</v>
      </c>
      <c r="C50" s="185"/>
      <c r="D50" s="185"/>
      <c r="E50" s="185"/>
      <c r="F50" s="185"/>
      <c r="G50" s="185"/>
    </row>
    <row r="51" spans="2:7" ht="32.1" customHeight="1" x14ac:dyDescent="0.45">
      <c r="B51" s="195" t="s">
        <v>104</v>
      </c>
      <c r="C51" s="185"/>
      <c r="D51" s="185"/>
      <c r="E51" s="185"/>
      <c r="F51" s="185"/>
      <c r="G51" s="185"/>
    </row>
    <row r="52" spans="2:7" ht="32.1" customHeight="1" x14ac:dyDescent="0.45">
      <c r="B52" s="198" t="s">
        <v>105</v>
      </c>
      <c r="C52" s="185"/>
      <c r="D52" s="185"/>
      <c r="E52" s="185"/>
      <c r="F52" s="185"/>
      <c r="G52" s="185"/>
    </row>
    <row r="53" spans="2:7" ht="32.1" customHeight="1" x14ac:dyDescent="0.45">
      <c r="B53" s="190" t="s">
        <v>106</v>
      </c>
      <c r="C53" s="185"/>
      <c r="D53" s="185"/>
      <c r="E53" s="185"/>
      <c r="F53" s="185"/>
      <c r="G53" s="185"/>
    </row>
    <row r="54" spans="2:7" ht="32.1" customHeight="1" x14ac:dyDescent="0.45">
      <c r="B54" s="190" t="s">
        <v>107</v>
      </c>
      <c r="C54" s="185"/>
      <c r="D54" s="185"/>
      <c r="E54" s="185"/>
      <c r="F54" s="185"/>
      <c r="G54" s="185"/>
    </row>
    <row r="55" spans="2:7" ht="32.1" customHeight="1" x14ac:dyDescent="0.45">
      <c r="B55" s="190" t="s">
        <v>108</v>
      </c>
      <c r="C55" s="185"/>
      <c r="D55" s="185"/>
      <c r="E55" s="185"/>
      <c r="F55" s="185"/>
      <c r="G55" s="185"/>
    </row>
    <row r="56" spans="2:7" ht="32.1" customHeight="1" x14ac:dyDescent="0.45">
      <c r="B56" s="190" t="s">
        <v>109</v>
      </c>
      <c r="C56" s="185"/>
      <c r="D56" s="185"/>
      <c r="E56" s="185"/>
      <c r="F56" s="185"/>
      <c r="G56" s="185"/>
    </row>
    <row r="57" spans="2:7" ht="32.1" customHeight="1" x14ac:dyDescent="0.45">
      <c r="B57" s="190" t="s">
        <v>110</v>
      </c>
      <c r="C57" s="185"/>
      <c r="D57" s="185"/>
      <c r="E57" s="185"/>
      <c r="F57" s="185"/>
      <c r="G57" s="185"/>
    </row>
    <row r="58" spans="2:7" ht="32.1" customHeight="1" x14ac:dyDescent="0.45">
      <c r="B58" s="190" t="s">
        <v>111</v>
      </c>
      <c r="C58" s="185"/>
      <c r="D58" s="185"/>
      <c r="E58" s="185"/>
      <c r="F58" s="185"/>
      <c r="G58" s="185"/>
    </row>
    <row r="59" spans="2:7" ht="32.1" customHeight="1" x14ac:dyDescent="0.45">
      <c r="B59" s="153"/>
      <c r="C59" s="153"/>
      <c r="D59" s="153"/>
      <c r="E59" s="153"/>
      <c r="F59" s="153"/>
      <c r="G59" s="153"/>
    </row>
    <row r="60" spans="2:7" ht="32.1" customHeight="1" x14ac:dyDescent="0.45">
      <c r="B60" s="207" t="s">
        <v>112</v>
      </c>
      <c r="C60" s="185"/>
      <c r="D60" s="185"/>
      <c r="E60" s="185"/>
      <c r="F60" s="185"/>
      <c r="G60" s="185"/>
    </row>
    <row r="61" spans="2:7" ht="32.1" customHeight="1" x14ac:dyDescent="0.45">
      <c r="B61" s="200" t="s">
        <v>113</v>
      </c>
      <c r="C61" s="185"/>
      <c r="D61" s="185"/>
      <c r="E61" s="185"/>
      <c r="F61" s="185"/>
      <c r="G61" s="185"/>
    </row>
    <row r="62" spans="2:7" ht="32.1" customHeight="1" x14ac:dyDescent="0.45">
      <c r="B62" s="200" t="s">
        <v>114</v>
      </c>
      <c r="C62" s="185"/>
      <c r="D62" s="185"/>
      <c r="E62" s="185"/>
      <c r="F62" s="185"/>
      <c r="G62" s="185"/>
    </row>
    <row r="63" spans="2:7" ht="32.1" customHeight="1" x14ac:dyDescent="0.45">
      <c r="B63" s="200" t="s">
        <v>115</v>
      </c>
      <c r="C63" s="185"/>
      <c r="D63" s="185"/>
      <c r="E63" s="185"/>
      <c r="F63" s="185"/>
      <c r="G63" s="185"/>
    </row>
    <row r="64" spans="2:7" ht="32.1" customHeight="1" x14ac:dyDescent="0.45">
      <c r="B64" s="200" t="s">
        <v>116</v>
      </c>
      <c r="C64" s="185"/>
      <c r="D64" s="185"/>
      <c r="E64" s="185"/>
      <c r="F64" s="185"/>
      <c r="G64" s="185"/>
    </row>
    <row r="65" spans="2:7" ht="32.1" customHeight="1" x14ac:dyDescent="0.45">
      <c r="B65" s="153"/>
      <c r="C65" s="153"/>
      <c r="D65" s="153"/>
      <c r="E65" s="153"/>
      <c r="F65" s="153"/>
      <c r="G65" s="153"/>
    </row>
    <row r="66" spans="2:7" ht="32.1" customHeight="1" x14ac:dyDescent="0.45">
      <c r="B66" s="196" t="s">
        <v>117</v>
      </c>
      <c r="C66" s="185"/>
      <c r="D66" s="185"/>
      <c r="E66" s="185"/>
      <c r="F66" s="185"/>
      <c r="G66" s="185"/>
    </row>
    <row r="67" spans="2:7" ht="32.1" customHeight="1" x14ac:dyDescent="0.45">
      <c r="B67" s="152" t="s">
        <v>118</v>
      </c>
      <c r="C67" s="194" t="s">
        <v>119</v>
      </c>
      <c r="D67" s="185"/>
      <c r="E67" s="185"/>
      <c r="F67" s="185"/>
      <c r="G67" s="185"/>
    </row>
    <row r="68" spans="2:7" ht="32.1" customHeight="1" x14ac:dyDescent="0.45">
      <c r="B68" s="152" t="s">
        <v>120</v>
      </c>
      <c r="C68" s="197" t="s">
        <v>121</v>
      </c>
      <c r="D68" s="185"/>
      <c r="E68" s="185"/>
      <c r="F68" s="185"/>
      <c r="G68" s="185"/>
    </row>
    <row r="69" spans="2:7" ht="32.1" customHeight="1" x14ac:dyDescent="0.45">
      <c r="B69" s="152" t="s">
        <v>122</v>
      </c>
      <c r="C69" s="194" t="s">
        <v>123</v>
      </c>
      <c r="D69" s="185"/>
      <c r="E69" s="185"/>
      <c r="F69" s="185"/>
      <c r="G69" s="185"/>
    </row>
    <row r="70" spans="2:7" ht="32.1" customHeight="1" x14ac:dyDescent="0.45">
      <c r="B70" s="152" t="s">
        <v>124</v>
      </c>
      <c r="C70" s="197" t="s">
        <v>125</v>
      </c>
      <c r="D70" s="185"/>
      <c r="E70" s="185"/>
      <c r="F70" s="185"/>
      <c r="G70" s="185"/>
    </row>
    <row r="71" spans="2:7" ht="32.1" customHeight="1" x14ac:dyDescent="0.45">
      <c r="B71" s="152" t="s">
        <v>126</v>
      </c>
      <c r="C71" s="194" t="s">
        <v>127</v>
      </c>
      <c r="D71" s="185"/>
      <c r="E71" s="185"/>
      <c r="F71" s="185"/>
      <c r="G71" s="185"/>
    </row>
    <row r="72" spans="2:7" ht="32.1" customHeight="1" x14ac:dyDescent="0.45">
      <c r="B72" s="152" t="s">
        <v>128</v>
      </c>
      <c r="C72" s="197" t="s">
        <v>129</v>
      </c>
      <c r="D72" s="185"/>
      <c r="E72" s="185"/>
      <c r="F72" s="185"/>
      <c r="G72" s="185"/>
    </row>
    <row r="73" spans="2:7" ht="32.1" customHeight="1" x14ac:dyDescent="0.45">
      <c r="B73" s="152" t="s">
        <v>130</v>
      </c>
      <c r="C73" s="194" t="s">
        <v>131</v>
      </c>
      <c r="D73" s="185"/>
      <c r="E73" s="185"/>
      <c r="F73" s="185"/>
      <c r="G73" s="185"/>
    </row>
    <row r="74" spans="2:7" ht="32.1" customHeight="1" x14ac:dyDescent="0.45">
      <c r="B74" s="153"/>
      <c r="C74" s="153"/>
      <c r="D74" s="153"/>
      <c r="E74" s="153"/>
      <c r="F74" s="153"/>
      <c r="G74" s="153"/>
    </row>
    <row r="75" spans="2:7" ht="32.1" customHeight="1" x14ac:dyDescent="0.45">
      <c r="B75" s="199" t="s">
        <v>132</v>
      </c>
      <c r="C75" s="185"/>
      <c r="D75" s="185"/>
      <c r="E75" s="185"/>
      <c r="F75" s="185"/>
      <c r="G75" s="185"/>
    </row>
    <row r="76" spans="2:7" ht="32.1" customHeight="1" x14ac:dyDescent="0.45">
      <c r="B76" s="191" t="s">
        <v>133</v>
      </c>
      <c r="C76" s="185"/>
      <c r="D76" s="185"/>
      <c r="E76" s="185"/>
      <c r="F76" s="185"/>
      <c r="G76" s="185"/>
    </row>
    <row r="77" spans="2:7" ht="32.1" customHeight="1" x14ac:dyDescent="0.45">
      <c r="B77" s="191" t="s">
        <v>134</v>
      </c>
      <c r="C77" s="185"/>
      <c r="D77" s="185"/>
      <c r="E77" s="185"/>
      <c r="F77" s="185"/>
      <c r="G77" s="185"/>
    </row>
    <row r="78" spans="2:7" ht="32.1" customHeight="1" x14ac:dyDescent="0.45">
      <c r="B78" s="191" t="s">
        <v>135</v>
      </c>
      <c r="C78" s="185"/>
      <c r="D78" s="185"/>
      <c r="E78" s="185"/>
      <c r="F78" s="185"/>
      <c r="G78" s="185"/>
    </row>
    <row r="79" spans="2:7" ht="32.1" customHeight="1" x14ac:dyDescent="0.45">
      <c r="B79" s="191" t="s">
        <v>136</v>
      </c>
      <c r="C79" s="185"/>
      <c r="D79" s="185"/>
      <c r="E79" s="185"/>
      <c r="F79" s="185"/>
      <c r="G79" s="185"/>
    </row>
    <row r="80" spans="2:7" ht="32.1" customHeight="1" x14ac:dyDescent="0.45">
      <c r="B80" s="191" t="s">
        <v>137</v>
      </c>
      <c r="C80" s="185"/>
      <c r="D80" s="185"/>
      <c r="E80" s="185"/>
      <c r="F80" s="185"/>
      <c r="G80" s="185"/>
    </row>
    <row r="81" spans="2:7" ht="32.1" customHeight="1" x14ac:dyDescent="0.45">
      <c r="B81" s="191" t="s">
        <v>138</v>
      </c>
      <c r="C81" s="185"/>
      <c r="D81" s="185"/>
      <c r="E81" s="185"/>
      <c r="F81" s="185"/>
      <c r="G81" s="185"/>
    </row>
    <row r="82" spans="2:7" ht="32.1" customHeight="1" x14ac:dyDescent="0.45">
      <c r="B82" s="191" t="s">
        <v>139</v>
      </c>
      <c r="C82" s="185"/>
      <c r="D82" s="185"/>
      <c r="E82" s="185"/>
      <c r="F82" s="185"/>
      <c r="G82" s="185"/>
    </row>
    <row r="83" spans="2:7" ht="32.1" customHeight="1" x14ac:dyDescent="0.45">
      <c r="B83" s="153"/>
      <c r="C83" s="153"/>
      <c r="D83" s="153"/>
      <c r="E83" s="153"/>
      <c r="F83" s="153"/>
      <c r="G83" s="153"/>
    </row>
    <row r="84" spans="2:7" ht="32.1" customHeight="1" x14ac:dyDescent="0.45">
      <c r="B84" s="199" t="s">
        <v>140</v>
      </c>
      <c r="C84" s="185"/>
      <c r="D84" s="185"/>
      <c r="E84" s="185"/>
      <c r="F84" s="185"/>
      <c r="G84" s="185"/>
    </row>
    <row r="85" spans="2:7" ht="32.1" customHeight="1" x14ac:dyDescent="0.45">
      <c r="B85" s="190" t="s">
        <v>141</v>
      </c>
      <c r="C85" s="185"/>
      <c r="D85" s="185"/>
      <c r="E85" s="185"/>
      <c r="F85" s="185"/>
      <c r="G85" s="185"/>
    </row>
    <row r="86" spans="2:7" ht="32.1" customHeight="1" x14ac:dyDescent="0.45">
      <c r="B86" s="153"/>
      <c r="C86" s="153"/>
      <c r="D86" s="153"/>
      <c r="E86" s="153"/>
      <c r="F86" s="153"/>
      <c r="G86" s="153"/>
    </row>
    <row r="87" spans="2:7" ht="32.1" customHeight="1" x14ac:dyDescent="0.45">
      <c r="B87" s="205" t="s">
        <v>142</v>
      </c>
      <c r="C87" s="185"/>
      <c r="D87" s="185"/>
      <c r="E87" s="185"/>
      <c r="F87" s="185"/>
      <c r="G87" s="185"/>
    </row>
  </sheetData>
  <mergeCells count="75">
    <mergeCell ref="B2:G2"/>
    <mergeCell ref="C68:G68"/>
    <mergeCell ref="D13:F13"/>
    <mergeCell ref="D11:F11"/>
    <mergeCell ref="B60:G60"/>
    <mergeCell ref="D25:G25"/>
    <mergeCell ref="B61:G61"/>
    <mergeCell ref="C42:D42"/>
    <mergeCell ref="B57:G57"/>
    <mergeCell ref="B8:G8"/>
    <mergeCell ref="D24:G24"/>
    <mergeCell ref="C45:D45"/>
    <mergeCell ref="D17:F17"/>
    <mergeCell ref="D33:G33"/>
    <mergeCell ref="B9:G9"/>
    <mergeCell ref="D12:F12"/>
    <mergeCell ref="B82:G82"/>
    <mergeCell ref="B53:G53"/>
    <mergeCell ref="B78:G78"/>
    <mergeCell ref="B29:G29"/>
    <mergeCell ref="D16:F16"/>
    <mergeCell ref="D18:F18"/>
    <mergeCell ref="B87:G87"/>
    <mergeCell ref="B38:G38"/>
    <mergeCell ref="D23:G23"/>
    <mergeCell ref="C73:G73"/>
    <mergeCell ref="D26:G26"/>
    <mergeCell ref="C47:D47"/>
    <mergeCell ref="D35:G35"/>
    <mergeCell ref="B37:G37"/>
    <mergeCell ref="B84:G84"/>
    <mergeCell ref="C41:D41"/>
    <mergeCell ref="C44:D44"/>
    <mergeCell ref="D34:G34"/>
    <mergeCell ref="C40:D40"/>
    <mergeCell ref="B30:G30"/>
    <mergeCell ref="B80:G80"/>
    <mergeCell ref="B85:G85"/>
    <mergeCell ref="D10:F10"/>
    <mergeCell ref="D15:F15"/>
    <mergeCell ref="B64:G64"/>
    <mergeCell ref="B55:G55"/>
    <mergeCell ref="B6:G6"/>
    <mergeCell ref="C43:D43"/>
    <mergeCell ref="B51:G51"/>
    <mergeCell ref="D14:F14"/>
    <mergeCell ref="D31:G31"/>
    <mergeCell ref="C46:D46"/>
    <mergeCell ref="D27:G27"/>
    <mergeCell ref="C48:D48"/>
    <mergeCell ref="B62:G62"/>
    <mergeCell ref="C70:G70"/>
    <mergeCell ref="C39:D39"/>
    <mergeCell ref="D32:G32"/>
    <mergeCell ref="B63:G63"/>
    <mergeCell ref="B79:G79"/>
    <mergeCell ref="C71:G71"/>
    <mergeCell ref="B50:G50"/>
    <mergeCell ref="B75:G75"/>
    <mergeCell ref="B3:G3"/>
    <mergeCell ref="B54:G54"/>
    <mergeCell ref="B81:G81"/>
    <mergeCell ref="D19:F19"/>
    <mergeCell ref="C67:G67"/>
    <mergeCell ref="B22:G22"/>
    <mergeCell ref="B66:G66"/>
    <mergeCell ref="C72:G72"/>
    <mergeCell ref="B58:G58"/>
    <mergeCell ref="B56:G56"/>
    <mergeCell ref="B52:G52"/>
    <mergeCell ref="B21:G21"/>
    <mergeCell ref="C69:G69"/>
    <mergeCell ref="B77:G77"/>
    <mergeCell ref="B5:G5"/>
    <mergeCell ref="B76:G7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B2:L151"/>
  <sheetViews>
    <sheetView zoomScale="70" zoomScaleNormal="70" workbookViewId="0">
      <pane ySplit="5" topLeftCell="A62" activePane="bottomLeft" state="frozen"/>
      <selection activeCell="C35" sqref="C35:H35"/>
      <selection pane="bottomLeft" activeCell="C35" sqref="C35:H35"/>
    </sheetView>
  </sheetViews>
  <sheetFormatPr defaultRowHeight="14.25" x14ac:dyDescent="0.45"/>
  <cols>
    <col min="1" max="1" width="2.3984375" customWidth="1"/>
    <col min="2" max="2" width="9.265625" style="1" customWidth="1"/>
    <col min="3" max="3" width="35.59765625" style="1" customWidth="1"/>
    <col min="4" max="4" width="32" customWidth="1"/>
    <col min="5" max="5" width="40.86328125" style="1" customWidth="1"/>
    <col min="6" max="6" width="39.1328125" style="1" customWidth="1"/>
    <col min="7" max="7" width="71.59765625" style="1" customWidth="1"/>
    <col min="8" max="8" width="9.3984375" customWidth="1"/>
    <col min="9" max="9" width="3.59765625" customWidth="1"/>
    <col min="10" max="10" width="28.3984375" customWidth="1"/>
    <col min="11" max="11" width="64" style="1" customWidth="1"/>
    <col min="12" max="12" width="49.86328125" customWidth="1"/>
    <col min="13" max="13" width="13" customWidth="1"/>
  </cols>
  <sheetData>
    <row r="2" spans="2:12" ht="48" customHeight="1" x14ac:dyDescent="0.45">
      <c r="B2" s="217" t="s">
        <v>143</v>
      </c>
      <c r="C2" s="208"/>
      <c r="D2" s="185"/>
      <c r="E2" s="208"/>
      <c r="F2" s="208"/>
      <c r="G2" s="208"/>
      <c r="H2" s="185"/>
      <c r="J2" s="211" t="s">
        <v>144</v>
      </c>
      <c r="K2" s="208"/>
      <c r="L2" s="185"/>
    </row>
    <row r="3" spans="2:12" ht="44.1" customHeight="1" x14ac:dyDescent="0.45">
      <c r="B3" s="189" t="s">
        <v>145</v>
      </c>
      <c r="C3" s="208"/>
      <c r="D3" s="185"/>
      <c r="E3" s="208"/>
      <c r="F3" s="208"/>
      <c r="G3" s="208"/>
      <c r="H3" s="185"/>
      <c r="J3" s="224" t="s">
        <v>146</v>
      </c>
      <c r="K3" s="193"/>
      <c r="L3" s="193"/>
    </row>
    <row r="4" spans="2:12" ht="15.75" customHeight="1" x14ac:dyDescent="0.45">
      <c r="B4" s="153"/>
      <c r="C4" s="153"/>
      <c r="D4" s="153"/>
      <c r="E4" s="153"/>
      <c r="F4" s="153"/>
      <c r="G4" s="153"/>
      <c r="H4" s="153"/>
      <c r="I4" s="153"/>
      <c r="J4" s="158" t="s">
        <v>147</v>
      </c>
      <c r="K4" s="4" t="s">
        <v>148</v>
      </c>
      <c r="L4" s="159" t="s">
        <v>149</v>
      </c>
    </row>
    <row r="5" spans="2:12" ht="30" customHeight="1" x14ac:dyDescent="0.45">
      <c r="B5" s="5" t="s">
        <v>6</v>
      </c>
      <c r="C5" s="5" t="s">
        <v>150</v>
      </c>
      <c r="D5" s="5" t="s">
        <v>151</v>
      </c>
      <c r="E5" s="5" t="s">
        <v>152</v>
      </c>
      <c r="F5" s="5" t="s">
        <v>153</v>
      </c>
      <c r="G5" s="5" t="s">
        <v>154</v>
      </c>
      <c r="H5" s="5" t="s">
        <v>155</v>
      </c>
      <c r="I5" s="161"/>
      <c r="J5" s="162" t="s">
        <v>156</v>
      </c>
      <c r="K5" s="161" t="s">
        <v>157</v>
      </c>
      <c r="L5" s="163" t="s">
        <v>158</v>
      </c>
    </row>
    <row r="6" spans="2:12" ht="22.15" customHeight="1" thickBot="1" x14ac:dyDescent="0.5">
      <c r="B6" s="164"/>
      <c r="C6" s="164"/>
      <c r="D6" s="164"/>
      <c r="E6" s="164"/>
      <c r="F6" s="164"/>
      <c r="G6" s="164"/>
      <c r="H6" s="164"/>
      <c r="I6" s="161"/>
      <c r="J6" s="18" t="s">
        <v>159</v>
      </c>
      <c r="K6" s="165" t="s">
        <v>160</v>
      </c>
      <c r="L6" s="166" t="s">
        <v>161</v>
      </c>
    </row>
    <row r="7" spans="2:12" ht="36" customHeight="1" x14ac:dyDescent="0.45">
      <c r="B7" s="225" t="s">
        <v>162</v>
      </c>
      <c r="C7" s="226"/>
      <c r="D7" s="226"/>
      <c r="E7" s="226"/>
      <c r="F7" s="226"/>
      <c r="G7" s="226"/>
      <c r="H7" s="227"/>
      <c r="I7" s="161"/>
      <c r="J7" s="18"/>
      <c r="K7" s="165"/>
      <c r="L7" s="166"/>
    </row>
    <row r="8" spans="2:12" ht="22.15" customHeight="1" x14ac:dyDescent="0.45">
      <c r="B8" s="167"/>
      <c r="C8" s="168"/>
      <c r="D8" s="168"/>
      <c r="E8" s="168"/>
      <c r="F8" s="168"/>
      <c r="G8" s="168"/>
      <c r="H8" s="169"/>
      <c r="I8" s="161"/>
      <c r="J8" s="18"/>
      <c r="K8" s="165"/>
      <c r="L8" s="166"/>
    </row>
    <row r="9" spans="2:12" ht="30" customHeight="1" x14ac:dyDescent="0.45">
      <c r="B9" s="237" t="s">
        <v>163</v>
      </c>
      <c r="C9" s="214"/>
      <c r="D9" s="214"/>
      <c r="E9" s="214"/>
      <c r="F9" s="214"/>
      <c r="G9" s="214"/>
      <c r="H9" s="216"/>
      <c r="I9" s="161"/>
      <c r="J9" s="18"/>
      <c r="K9" s="165"/>
      <c r="L9" s="166"/>
    </row>
    <row r="10" spans="2:12" ht="40.15" customHeight="1" x14ac:dyDescent="0.45">
      <c r="B10" s="213" t="s">
        <v>56</v>
      </c>
      <c r="C10" s="214"/>
      <c r="D10" s="241" t="s">
        <v>164</v>
      </c>
      <c r="E10" s="214"/>
      <c r="F10" s="214"/>
      <c r="G10" s="214"/>
      <c r="H10" s="216"/>
      <c r="I10" s="161"/>
      <c r="J10" s="18"/>
      <c r="K10" s="165"/>
      <c r="L10" s="166"/>
    </row>
    <row r="11" spans="2:12" ht="40.15" customHeight="1" x14ac:dyDescent="0.45">
      <c r="B11" s="239" t="s">
        <v>59</v>
      </c>
      <c r="C11" s="214"/>
      <c r="D11" s="235" t="s">
        <v>165</v>
      </c>
      <c r="E11" s="214"/>
      <c r="F11" s="214"/>
      <c r="G11" s="214"/>
      <c r="H11" s="216"/>
      <c r="I11" s="161"/>
      <c r="J11" s="18"/>
      <c r="K11" s="165"/>
      <c r="L11" s="166"/>
    </row>
    <row r="12" spans="2:12" ht="40.15" customHeight="1" x14ac:dyDescent="0.45">
      <c r="B12" s="231" t="s">
        <v>62</v>
      </c>
      <c r="C12" s="214"/>
      <c r="D12" s="221" t="s">
        <v>166</v>
      </c>
      <c r="E12" s="214"/>
      <c r="F12" s="214"/>
      <c r="G12" s="214"/>
      <c r="H12" s="216"/>
      <c r="I12" s="161"/>
      <c r="J12" s="18"/>
      <c r="K12" s="165"/>
      <c r="L12" s="166"/>
    </row>
    <row r="13" spans="2:12" ht="40.15" customHeight="1" x14ac:dyDescent="0.45">
      <c r="B13" s="228" t="s">
        <v>65</v>
      </c>
      <c r="C13" s="214"/>
      <c r="D13" s="235" t="s">
        <v>167</v>
      </c>
      <c r="E13" s="214"/>
      <c r="F13" s="214"/>
      <c r="G13" s="214"/>
      <c r="H13" s="216"/>
      <c r="I13" s="161"/>
      <c r="J13" s="18"/>
      <c r="K13" s="165"/>
      <c r="L13" s="166"/>
    </row>
    <row r="14" spans="2:12" ht="40.15" customHeight="1" x14ac:dyDescent="0.45">
      <c r="B14" s="236" t="s">
        <v>68</v>
      </c>
      <c r="C14" s="214"/>
      <c r="D14" s="221" t="s">
        <v>168</v>
      </c>
      <c r="E14" s="214"/>
      <c r="F14" s="214"/>
      <c r="G14" s="214"/>
      <c r="H14" s="216"/>
      <c r="I14" s="161"/>
      <c r="J14" s="18"/>
      <c r="K14" s="165"/>
      <c r="L14" s="166"/>
    </row>
    <row r="15" spans="2:12" ht="22.15" customHeight="1" x14ac:dyDescent="0.45">
      <c r="B15" s="167"/>
      <c r="C15" s="168"/>
      <c r="D15" s="168"/>
      <c r="E15" s="168"/>
      <c r="F15" s="168"/>
      <c r="G15" s="168"/>
      <c r="H15" s="169"/>
      <c r="I15" s="161"/>
      <c r="J15" s="18"/>
      <c r="K15" s="165"/>
      <c r="L15" s="166"/>
    </row>
    <row r="16" spans="2:12" ht="30" customHeight="1" x14ac:dyDescent="0.45">
      <c r="B16" s="230" t="s">
        <v>169</v>
      </c>
      <c r="C16" s="214"/>
      <c r="D16" s="214"/>
      <c r="E16" s="214"/>
      <c r="F16" s="214"/>
      <c r="G16" s="214"/>
      <c r="H16" s="216"/>
      <c r="I16" s="161"/>
      <c r="J16" s="18"/>
      <c r="K16" s="165"/>
      <c r="L16" s="166"/>
    </row>
    <row r="17" spans="2:12" ht="28.15" customHeight="1" x14ac:dyDescent="0.45">
      <c r="B17" s="6">
        <v>1</v>
      </c>
      <c r="C17" s="7" t="s">
        <v>170</v>
      </c>
      <c r="D17" s="8" t="s">
        <v>171</v>
      </c>
      <c r="E17" s="229" t="s">
        <v>172</v>
      </c>
      <c r="F17" s="214"/>
      <c r="G17" s="214"/>
      <c r="H17" s="216"/>
      <c r="I17" s="161"/>
      <c r="J17" s="18"/>
      <c r="K17" s="165"/>
      <c r="L17" s="166"/>
    </row>
    <row r="18" spans="2:12" ht="28.15" customHeight="1" x14ac:dyDescent="0.45">
      <c r="B18" s="9">
        <v>2</v>
      </c>
      <c r="C18" s="10" t="s">
        <v>173</v>
      </c>
      <c r="D18" s="11" t="s">
        <v>174</v>
      </c>
      <c r="E18" s="215" t="s">
        <v>175</v>
      </c>
      <c r="F18" s="214"/>
      <c r="G18" s="214"/>
      <c r="H18" s="216"/>
      <c r="I18" s="161"/>
      <c r="J18" s="18"/>
      <c r="K18" s="165"/>
      <c r="L18" s="166"/>
    </row>
    <row r="19" spans="2:12" ht="28.15" customHeight="1" x14ac:dyDescent="0.45">
      <c r="B19" s="12">
        <v>3</v>
      </c>
      <c r="C19" s="13" t="s">
        <v>176</v>
      </c>
      <c r="D19" s="14" t="s">
        <v>174</v>
      </c>
      <c r="E19" s="218" t="s">
        <v>177</v>
      </c>
      <c r="F19" s="214"/>
      <c r="G19" s="214"/>
      <c r="H19" s="216"/>
      <c r="I19" s="161"/>
      <c r="J19" s="18"/>
      <c r="K19" s="165"/>
      <c r="L19" s="166"/>
    </row>
    <row r="20" spans="2:12" ht="28.15" customHeight="1" x14ac:dyDescent="0.45">
      <c r="B20" s="9">
        <v>4</v>
      </c>
      <c r="C20" s="10" t="s">
        <v>178</v>
      </c>
      <c r="D20" s="11" t="s">
        <v>179</v>
      </c>
      <c r="E20" s="215" t="s">
        <v>180</v>
      </c>
      <c r="F20" s="214"/>
      <c r="G20" s="214"/>
      <c r="H20" s="216"/>
      <c r="I20" s="161"/>
      <c r="J20" s="18"/>
      <c r="K20" s="165"/>
      <c r="L20" s="166"/>
    </row>
    <row r="21" spans="2:12" ht="28.15" customHeight="1" x14ac:dyDescent="0.45">
      <c r="B21" s="12">
        <v>5</v>
      </c>
      <c r="C21" s="13" t="s">
        <v>181</v>
      </c>
      <c r="D21" s="14" t="s">
        <v>182</v>
      </c>
      <c r="E21" s="218" t="s">
        <v>183</v>
      </c>
      <c r="F21" s="214"/>
      <c r="G21" s="214"/>
      <c r="H21" s="216"/>
      <c r="I21" s="161"/>
      <c r="J21" s="18"/>
      <c r="K21" s="165"/>
      <c r="L21" s="166"/>
    </row>
    <row r="22" spans="2:12" ht="28.15" customHeight="1" thickBot="1" x14ac:dyDescent="0.5">
      <c r="B22" s="15">
        <v>6</v>
      </c>
      <c r="C22" s="16" t="s">
        <v>184</v>
      </c>
      <c r="D22" s="17" t="s">
        <v>185</v>
      </c>
      <c r="E22" s="232" t="s">
        <v>186</v>
      </c>
      <c r="F22" s="233"/>
      <c r="G22" s="233"/>
      <c r="H22" s="234"/>
      <c r="I22" s="161"/>
      <c r="J22" s="18"/>
      <c r="K22" s="165"/>
      <c r="L22" s="166"/>
    </row>
    <row r="23" spans="2:12" ht="36" customHeight="1" x14ac:dyDescent="0.45">
      <c r="B23" s="219" t="s">
        <v>187</v>
      </c>
      <c r="C23" s="220"/>
      <c r="D23" s="220"/>
      <c r="E23" s="220"/>
      <c r="F23" s="220"/>
      <c r="G23" s="220"/>
      <c r="H23" s="220"/>
      <c r="I23" s="161"/>
      <c r="J23" s="162"/>
      <c r="K23" s="161"/>
      <c r="L23" s="163"/>
    </row>
    <row r="24" spans="2:12" ht="54" customHeight="1" x14ac:dyDescent="0.45">
      <c r="B24" s="19" t="s">
        <v>188</v>
      </c>
      <c r="C24" s="210" t="s">
        <v>189</v>
      </c>
      <c r="D24" s="185"/>
      <c r="E24" s="208"/>
      <c r="F24" s="208"/>
      <c r="G24" s="208"/>
      <c r="H24" s="185"/>
      <c r="I24" s="161"/>
      <c r="J24" s="18"/>
      <c r="K24" s="165"/>
      <c r="L24" s="166"/>
    </row>
    <row r="25" spans="2:12" ht="54" customHeight="1" x14ac:dyDescent="0.45">
      <c r="B25" s="19" t="s">
        <v>190</v>
      </c>
      <c r="C25" s="210" t="s">
        <v>191</v>
      </c>
      <c r="D25" s="185"/>
      <c r="E25" s="208"/>
      <c r="F25" s="208"/>
      <c r="G25" s="208"/>
      <c r="H25" s="185"/>
      <c r="I25" s="161"/>
      <c r="J25" s="162"/>
      <c r="K25" s="161"/>
      <c r="L25" s="163"/>
    </row>
    <row r="26" spans="2:12" ht="54" customHeight="1" x14ac:dyDescent="0.45">
      <c r="B26" s="20" t="s">
        <v>192</v>
      </c>
      <c r="C26" s="209" t="s">
        <v>193</v>
      </c>
      <c r="D26" s="185"/>
      <c r="E26" s="208"/>
      <c r="F26" s="208"/>
      <c r="G26" s="208"/>
      <c r="H26" s="185"/>
      <c r="I26" s="161"/>
      <c r="J26" s="162"/>
      <c r="K26" s="161"/>
      <c r="L26" s="163"/>
    </row>
    <row r="27" spans="2:12" ht="30" customHeight="1" x14ac:dyDescent="0.45">
      <c r="B27" s="2" t="s">
        <v>6</v>
      </c>
      <c r="C27" s="160" t="s">
        <v>150</v>
      </c>
      <c r="D27" s="160" t="s">
        <v>151</v>
      </c>
      <c r="E27" s="160" t="s">
        <v>152</v>
      </c>
      <c r="F27" s="160" t="s">
        <v>153</v>
      </c>
      <c r="G27" s="160" t="s">
        <v>154</v>
      </c>
      <c r="H27" s="2" t="s">
        <v>155</v>
      </c>
      <c r="I27" s="161"/>
      <c r="J27" s="18" t="s">
        <v>194</v>
      </c>
      <c r="K27" s="165" t="s">
        <v>195</v>
      </c>
      <c r="L27" s="166" t="s">
        <v>196</v>
      </c>
    </row>
    <row r="28" spans="2:12" ht="28.15" customHeight="1" x14ac:dyDescent="0.45">
      <c r="B28" s="170">
        <v>1</v>
      </c>
      <c r="C28" s="24" t="s">
        <v>197</v>
      </c>
      <c r="D28" s="171" t="s">
        <v>198</v>
      </c>
      <c r="E28" s="25" t="s">
        <v>199</v>
      </c>
      <c r="F28" s="25" t="s">
        <v>200</v>
      </c>
      <c r="G28" s="172" t="s">
        <v>201</v>
      </c>
      <c r="H28" s="173"/>
      <c r="I28" s="161"/>
      <c r="J28" s="162" t="s">
        <v>202</v>
      </c>
      <c r="K28" s="161" t="s">
        <v>203</v>
      </c>
      <c r="L28" s="166" t="s">
        <v>204</v>
      </c>
    </row>
    <row r="29" spans="2:12" ht="28.15" customHeight="1" x14ac:dyDescent="0.45">
      <c r="B29" s="174">
        <v>2</v>
      </c>
      <c r="C29" s="26" t="s">
        <v>205</v>
      </c>
      <c r="D29" s="175" t="s">
        <v>206</v>
      </c>
      <c r="E29" s="27" t="s">
        <v>207</v>
      </c>
      <c r="F29" s="27" t="s">
        <v>208</v>
      </c>
      <c r="G29" s="176" t="s">
        <v>209</v>
      </c>
      <c r="H29" s="177"/>
      <c r="I29" s="161"/>
      <c r="J29" s="18" t="s">
        <v>210</v>
      </c>
      <c r="K29" s="165" t="s">
        <v>211</v>
      </c>
      <c r="L29" s="166" t="s">
        <v>212</v>
      </c>
    </row>
    <row r="30" spans="2:12" ht="28.15" customHeight="1" x14ac:dyDescent="0.45">
      <c r="B30" s="170">
        <v>3</v>
      </c>
      <c r="C30" s="24" t="s">
        <v>213</v>
      </c>
      <c r="D30" s="171" t="s">
        <v>214</v>
      </c>
      <c r="E30" s="25" t="s">
        <v>215</v>
      </c>
      <c r="F30" s="25" t="s">
        <v>216</v>
      </c>
      <c r="G30" s="172" t="s">
        <v>217</v>
      </c>
      <c r="H30" s="173"/>
      <c r="I30" s="161"/>
      <c r="J30" s="162" t="s">
        <v>218</v>
      </c>
      <c r="K30" s="161" t="s">
        <v>219</v>
      </c>
      <c r="L30" s="163" t="s">
        <v>220</v>
      </c>
    </row>
    <row r="31" spans="2:12" ht="28.15" customHeight="1" x14ac:dyDescent="0.45">
      <c r="B31" s="174">
        <v>4</v>
      </c>
      <c r="C31" s="26" t="s">
        <v>221</v>
      </c>
      <c r="D31" s="175" t="s">
        <v>222</v>
      </c>
      <c r="E31" s="27" t="s">
        <v>223</v>
      </c>
      <c r="F31" s="27" t="s">
        <v>224</v>
      </c>
      <c r="G31" s="176" t="s">
        <v>225</v>
      </c>
      <c r="H31" s="177"/>
      <c r="I31" s="161"/>
      <c r="J31" s="18" t="s">
        <v>226</v>
      </c>
      <c r="K31" s="165" t="s">
        <v>227</v>
      </c>
      <c r="L31" s="166" t="s">
        <v>228</v>
      </c>
    </row>
    <row r="32" spans="2:12" ht="28.15" customHeight="1" x14ac:dyDescent="0.45">
      <c r="B32" s="170">
        <v>5</v>
      </c>
      <c r="C32" s="24" t="s">
        <v>229</v>
      </c>
      <c r="D32" s="171" t="s">
        <v>230</v>
      </c>
      <c r="E32" s="25" t="s">
        <v>231</v>
      </c>
      <c r="F32" s="25" t="s">
        <v>232</v>
      </c>
      <c r="G32" s="172" t="s">
        <v>233</v>
      </c>
      <c r="H32" s="173"/>
      <c r="I32" s="161"/>
      <c r="J32" s="178" t="s">
        <v>234</v>
      </c>
      <c r="K32" s="179" t="s">
        <v>235</v>
      </c>
      <c r="L32" s="180" t="s">
        <v>236</v>
      </c>
    </row>
    <row r="33" spans="2:12" ht="22.15" customHeight="1" x14ac:dyDescent="0.45">
      <c r="B33" s="161"/>
      <c r="C33" s="161"/>
      <c r="D33" s="161"/>
      <c r="E33" s="161"/>
      <c r="F33" s="161"/>
      <c r="G33" s="161"/>
      <c r="H33" s="161"/>
      <c r="I33" s="161"/>
      <c r="J33" s="161" t="s">
        <v>237</v>
      </c>
      <c r="K33" s="161" t="s">
        <v>238</v>
      </c>
      <c r="L33" s="161" t="s">
        <v>239</v>
      </c>
    </row>
    <row r="34" spans="2:12" ht="36" customHeight="1" x14ac:dyDescent="0.45">
      <c r="B34" s="223" t="s">
        <v>240</v>
      </c>
      <c r="C34" s="208"/>
      <c r="D34" s="185"/>
      <c r="E34" s="208"/>
      <c r="F34" s="208"/>
      <c r="G34" s="208"/>
      <c r="H34" s="185"/>
      <c r="I34" s="161"/>
      <c r="J34" s="161"/>
      <c r="K34" s="161"/>
      <c r="L34" s="161"/>
    </row>
    <row r="35" spans="2:12" ht="54" customHeight="1" x14ac:dyDescent="0.45">
      <c r="B35" s="19" t="s">
        <v>188</v>
      </c>
      <c r="C35" s="210" t="s">
        <v>241</v>
      </c>
      <c r="D35" s="185"/>
      <c r="E35" s="208"/>
      <c r="F35" s="208"/>
      <c r="G35" s="208"/>
      <c r="H35" s="185"/>
      <c r="I35" s="161"/>
      <c r="J35" s="161"/>
      <c r="K35" s="161"/>
      <c r="L35" s="161"/>
    </row>
    <row r="36" spans="2:12" ht="54" customHeight="1" x14ac:dyDescent="0.45">
      <c r="B36" s="19" t="s">
        <v>190</v>
      </c>
      <c r="C36" s="210" t="s">
        <v>242</v>
      </c>
      <c r="D36" s="185"/>
      <c r="E36" s="208"/>
      <c r="F36" s="208"/>
      <c r="G36" s="208"/>
      <c r="H36" s="185"/>
      <c r="I36" s="161"/>
      <c r="J36" s="161"/>
      <c r="K36" s="161"/>
      <c r="L36" s="161"/>
    </row>
    <row r="37" spans="2:12" ht="54" customHeight="1" x14ac:dyDescent="0.45">
      <c r="B37" s="20" t="s">
        <v>192</v>
      </c>
      <c r="C37" s="209" t="s">
        <v>243</v>
      </c>
      <c r="D37" s="185"/>
      <c r="E37" s="208"/>
      <c r="F37" s="208"/>
      <c r="G37" s="208"/>
      <c r="H37" s="185"/>
      <c r="I37" s="161"/>
      <c r="J37" s="161"/>
      <c r="K37" s="161"/>
      <c r="L37" s="161"/>
    </row>
    <row r="38" spans="2:12" ht="30" customHeight="1" x14ac:dyDescent="0.45">
      <c r="B38" s="2" t="s">
        <v>6</v>
      </c>
      <c r="C38" s="160" t="s">
        <v>150</v>
      </c>
      <c r="D38" s="160" t="s">
        <v>151</v>
      </c>
      <c r="E38" s="160" t="s">
        <v>152</v>
      </c>
      <c r="F38" s="160" t="s">
        <v>153</v>
      </c>
      <c r="G38" s="160" t="s">
        <v>154</v>
      </c>
      <c r="H38" s="2" t="s">
        <v>155</v>
      </c>
      <c r="I38" s="161"/>
      <c r="J38" s="161"/>
      <c r="K38" s="161"/>
      <c r="L38" s="161"/>
    </row>
    <row r="39" spans="2:12" ht="28.15" customHeight="1" x14ac:dyDescent="0.45">
      <c r="B39" s="174">
        <v>6</v>
      </c>
      <c r="C39" s="26" t="s">
        <v>244</v>
      </c>
      <c r="D39" s="175" t="s">
        <v>245</v>
      </c>
      <c r="E39" s="27" t="s">
        <v>246</v>
      </c>
      <c r="F39" s="27" t="s">
        <v>247</v>
      </c>
      <c r="G39" s="176" t="s">
        <v>248</v>
      </c>
      <c r="H39" s="177"/>
      <c r="I39" s="161"/>
      <c r="J39" s="161"/>
      <c r="K39" s="161"/>
      <c r="L39" s="161"/>
    </row>
    <row r="40" spans="2:12" ht="28.15" customHeight="1" x14ac:dyDescent="0.45">
      <c r="B40" s="170">
        <v>7</v>
      </c>
      <c r="C40" s="24" t="s">
        <v>249</v>
      </c>
      <c r="D40" s="171" t="s">
        <v>250</v>
      </c>
      <c r="E40" s="25" t="s">
        <v>251</v>
      </c>
      <c r="F40" s="25" t="s">
        <v>252</v>
      </c>
      <c r="G40" s="172" t="s">
        <v>253</v>
      </c>
      <c r="H40" s="173"/>
      <c r="I40" s="161"/>
      <c r="J40" s="161"/>
      <c r="K40" s="161"/>
      <c r="L40" s="161"/>
    </row>
    <row r="41" spans="2:12" ht="28.15" customHeight="1" x14ac:dyDescent="0.45">
      <c r="B41" s="174">
        <v>8</v>
      </c>
      <c r="C41" s="26" t="s">
        <v>254</v>
      </c>
      <c r="D41" s="175" t="s">
        <v>255</v>
      </c>
      <c r="E41" s="27" t="s">
        <v>256</v>
      </c>
      <c r="F41" s="27" t="s">
        <v>257</v>
      </c>
      <c r="G41" s="176" t="s">
        <v>258</v>
      </c>
      <c r="H41" s="177"/>
      <c r="I41" s="161"/>
      <c r="J41" s="161"/>
      <c r="K41" s="161"/>
      <c r="L41" s="161"/>
    </row>
    <row r="42" spans="2:12" ht="28.15" customHeight="1" x14ac:dyDescent="0.45">
      <c r="B42" s="170">
        <v>9</v>
      </c>
      <c r="C42" s="24" t="s">
        <v>259</v>
      </c>
      <c r="D42" s="171" t="s">
        <v>260</v>
      </c>
      <c r="E42" s="25" t="s">
        <v>261</v>
      </c>
      <c r="F42" s="25" t="s">
        <v>262</v>
      </c>
      <c r="G42" s="172" t="s">
        <v>263</v>
      </c>
      <c r="H42" s="173"/>
      <c r="I42" s="161"/>
      <c r="J42" s="161"/>
      <c r="K42" s="161"/>
      <c r="L42" s="161"/>
    </row>
    <row r="43" spans="2:12" ht="28.15" customHeight="1" x14ac:dyDescent="0.45">
      <c r="B43" s="174">
        <v>10</v>
      </c>
      <c r="C43" s="26" t="s">
        <v>264</v>
      </c>
      <c r="D43" s="175" t="s">
        <v>265</v>
      </c>
      <c r="E43" s="27" t="s">
        <v>266</v>
      </c>
      <c r="F43" s="27" t="s">
        <v>232</v>
      </c>
      <c r="G43" s="176" t="s">
        <v>267</v>
      </c>
      <c r="H43" s="177"/>
      <c r="I43" s="161"/>
      <c r="J43" s="161"/>
      <c r="K43" s="161"/>
      <c r="L43" s="161"/>
    </row>
    <row r="44" spans="2:12" ht="28.15" customHeight="1" x14ac:dyDescent="0.45">
      <c r="B44" s="170">
        <v>11</v>
      </c>
      <c r="C44" s="24" t="s">
        <v>268</v>
      </c>
      <c r="D44" s="171" t="s">
        <v>269</v>
      </c>
      <c r="E44" s="25" t="s">
        <v>270</v>
      </c>
      <c r="F44" s="25" t="s">
        <v>271</v>
      </c>
      <c r="G44" s="172" t="s">
        <v>272</v>
      </c>
      <c r="H44" s="173"/>
      <c r="I44" s="161"/>
      <c r="J44" s="161"/>
      <c r="K44" s="161"/>
      <c r="L44" s="161"/>
    </row>
    <row r="45" spans="2:12" ht="28.15" customHeight="1" x14ac:dyDescent="0.45">
      <c r="B45" s="174">
        <v>12</v>
      </c>
      <c r="C45" s="26" t="s">
        <v>273</v>
      </c>
      <c r="D45" s="175" t="s">
        <v>274</v>
      </c>
      <c r="E45" s="27" t="s">
        <v>275</v>
      </c>
      <c r="F45" s="27" t="s">
        <v>276</v>
      </c>
      <c r="G45" s="176" t="s">
        <v>277</v>
      </c>
      <c r="H45" s="177"/>
      <c r="I45" s="161"/>
      <c r="J45" s="161"/>
      <c r="K45" s="161"/>
      <c r="L45" s="161"/>
    </row>
    <row r="46" spans="2:12" ht="22.15" customHeight="1" x14ac:dyDescent="0.45">
      <c r="B46" s="161"/>
      <c r="C46" s="161"/>
      <c r="D46" s="161"/>
      <c r="E46" s="161"/>
      <c r="F46" s="161"/>
      <c r="G46" s="161"/>
      <c r="H46" s="161"/>
      <c r="I46" s="161"/>
      <c r="J46" s="161"/>
      <c r="K46" s="161"/>
      <c r="L46" s="161"/>
    </row>
    <row r="47" spans="2:12" ht="36" customHeight="1" x14ac:dyDescent="0.45">
      <c r="B47" s="223" t="s">
        <v>278</v>
      </c>
      <c r="C47" s="208"/>
      <c r="D47" s="185"/>
      <c r="E47" s="208"/>
      <c r="F47" s="208"/>
      <c r="G47" s="208"/>
      <c r="H47" s="185"/>
      <c r="I47" s="161"/>
      <c r="J47" s="161"/>
      <c r="K47" s="161"/>
      <c r="L47" s="161"/>
    </row>
    <row r="48" spans="2:12" ht="54" customHeight="1" x14ac:dyDescent="0.45">
      <c r="B48" s="19" t="s">
        <v>188</v>
      </c>
      <c r="C48" s="210" t="s">
        <v>279</v>
      </c>
      <c r="D48" s="185"/>
      <c r="E48" s="208"/>
      <c r="F48" s="208"/>
      <c r="G48" s="208"/>
      <c r="H48" s="185"/>
      <c r="I48" s="161"/>
      <c r="J48" s="161"/>
      <c r="K48" s="161"/>
      <c r="L48" s="161"/>
    </row>
    <row r="49" spans="2:12" ht="54" customHeight="1" x14ac:dyDescent="0.45">
      <c r="B49" s="19" t="s">
        <v>190</v>
      </c>
      <c r="C49" s="210" t="s">
        <v>280</v>
      </c>
      <c r="D49" s="185"/>
      <c r="E49" s="208"/>
      <c r="F49" s="208"/>
      <c r="G49" s="208"/>
      <c r="H49" s="185"/>
      <c r="I49" s="161"/>
      <c r="J49" s="161"/>
      <c r="K49" s="161"/>
      <c r="L49" s="161"/>
    </row>
    <row r="50" spans="2:12" ht="54" customHeight="1" x14ac:dyDescent="0.45">
      <c r="B50" s="20" t="s">
        <v>192</v>
      </c>
      <c r="C50" s="209" t="s">
        <v>281</v>
      </c>
      <c r="D50" s="185"/>
      <c r="E50" s="208"/>
      <c r="F50" s="208"/>
      <c r="G50" s="208"/>
      <c r="H50" s="185"/>
      <c r="I50" s="161"/>
      <c r="J50" s="161"/>
      <c r="K50" s="161"/>
      <c r="L50" s="161"/>
    </row>
    <row r="51" spans="2:12" ht="30" customHeight="1" x14ac:dyDescent="0.45">
      <c r="B51" s="2" t="s">
        <v>6</v>
      </c>
      <c r="C51" s="160" t="s">
        <v>150</v>
      </c>
      <c r="D51" s="160" t="s">
        <v>151</v>
      </c>
      <c r="E51" s="160" t="s">
        <v>152</v>
      </c>
      <c r="F51" s="160" t="s">
        <v>153</v>
      </c>
      <c r="G51" s="160" t="s">
        <v>154</v>
      </c>
      <c r="H51" s="2" t="s">
        <v>155</v>
      </c>
      <c r="I51" s="161"/>
      <c r="J51" s="161"/>
      <c r="K51" s="161"/>
      <c r="L51" s="161"/>
    </row>
    <row r="52" spans="2:12" ht="28.15" customHeight="1" x14ac:dyDescent="0.45">
      <c r="B52" s="170">
        <v>13</v>
      </c>
      <c r="C52" s="24" t="s">
        <v>282</v>
      </c>
      <c r="D52" s="171" t="s">
        <v>283</v>
      </c>
      <c r="E52" s="25" t="s">
        <v>284</v>
      </c>
      <c r="F52" s="25" t="s">
        <v>285</v>
      </c>
      <c r="G52" s="172" t="s">
        <v>286</v>
      </c>
      <c r="H52" s="173"/>
      <c r="I52" s="161"/>
      <c r="J52" s="161"/>
      <c r="K52" s="161"/>
      <c r="L52" s="161"/>
    </row>
    <row r="53" spans="2:12" ht="28.15" customHeight="1" x14ac:dyDescent="0.45">
      <c r="B53" s="174">
        <v>14</v>
      </c>
      <c r="C53" s="26" t="s">
        <v>287</v>
      </c>
      <c r="D53" s="175" t="s">
        <v>288</v>
      </c>
      <c r="E53" s="27" t="s">
        <v>289</v>
      </c>
      <c r="F53" s="27" t="s">
        <v>290</v>
      </c>
      <c r="G53" s="176" t="s">
        <v>291</v>
      </c>
      <c r="H53" s="177"/>
      <c r="I53" s="161"/>
      <c r="J53" s="161"/>
      <c r="K53" s="161"/>
      <c r="L53" s="161"/>
    </row>
    <row r="54" spans="2:12" ht="28.15" customHeight="1" x14ac:dyDescent="0.45">
      <c r="B54" s="170">
        <v>15</v>
      </c>
      <c r="C54" s="24" t="s">
        <v>292</v>
      </c>
      <c r="D54" s="171" t="s">
        <v>293</v>
      </c>
      <c r="E54" s="25" t="s">
        <v>289</v>
      </c>
      <c r="F54" s="25" t="s">
        <v>294</v>
      </c>
      <c r="G54" s="172" t="s">
        <v>295</v>
      </c>
      <c r="H54" s="173"/>
      <c r="I54" s="161"/>
      <c r="J54" s="161"/>
      <c r="K54" s="161"/>
      <c r="L54" s="161"/>
    </row>
    <row r="55" spans="2:12" ht="28.15" customHeight="1" x14ac:dyDescent="0.45">
      <c r="B55" s="174">
        <v>16</v>
      </c>
      <c r="C55" s="26" t="s">
        <v>296</v>
      </c>
      <c r="D55" s="175" t="s">
        <v>297</v>
      </c>
      <c r="E55" s="27" t="s">
        <v>298</v>
      </c>
      <c r="F55" s="27" t="s">
        <v>299</v>
      </c>
      <c r="G55" s="176" t="s">
        <v>300</v>
      </c>
      <c r="H55" s="177"/>
      <c r="I55" s="161"/>
      <c r="J55" s="161"/>
      <c r="K55" s="161"/>
      <c r="L55" s="161"/>
    </row>
    <row r="56" spans="2:12" ht="28.15" customHeight="1" x14ac:dyDescent="0.45">
      <c r="B56" s="170">
        <v>17</v>
      </c>
      <c r="C56" s="24" t="s">
        <v>301</v>
      </c>
      <c r="D56" s="171" t="s">
        <v>302</v>
      </c>
      <c r="E56" s="25" t="s">
        <v>289</v>
      </c>
      <c r="F56" s="25" t="s">
        <v>303</v>
      </c>
      <c r="G56" s="172" t="s">
        <v>304</v>
      </c>
      <c r="H56" s="173"/>
      <c r="I56" s="161"/>
      <c r="J56" s="161"/>
      <c r="K56" s="161"/>
      <c r="L56" s="161"/>
    </row>
    <row r="57" spans="2:12" ht="28.15" customHeight="1" x14ac:dyDescent="0.45">
      <c r="B57" s="174">
        <v>18</v>
      </c>
      <c r="C57" s="26" t="s">
        <v>305</v>
      </c>
      <c r="D57" s="175" t="s">
        <v>306</v>
      </c>
      <c r="E57" s="27" t="s">
        <v>307</v>
      </c>
      <c r="F57" s="27" t="s">
        <v>308</v>
      </c>
      <c r="G57" s="176" t="s">
        <v>309</v>
      </c>
      <c r="H57" s="177"/>
      <c r="I57" s="161"/>
      <c r="J57" s="161"/>
      <c r="K57" s="161"/>
      <c r="L57" s="161"/>
    </row>
    <row r="58" spans="2:12" ht="28.15" customHeight="1" x14ac:dyDescent="0.45">
      <c r="B58" s="170">
        <v>19</v>
      </c>
      <c r="C58" s="24" t="s">
        <v>310</v>
      </c>
      <c r="D58" s="171" t="s">
        <v>311</v>
      </c>
      <c r="E58" s="25" t="s">
        <v>312</v>
      </c>
      <c r="F58" s="25" t="s">
        <v>313</v>
      </c>
      <c r="G58" s="172" t="s">
        <v>314</v>
      </c>
      <c r="H58" s="173"/>
      <c r="I58" s="161"/>
      <c r="J58" s="161"/>
      <c r="K58" s="161"/>
      <c r="L58" s="161"/>
    </row>
    <row r="59" spans="2:12" ht="28.15" customHeight="1" x14ac:dyDescent="0.45">
      <c r="B59" s="174">
        <v>20</v>
      </c>
      <c r="C59" s="26" t="s">
        <v>315</v>
      </c>
      <c r="D59" s="175" t="s">
        <v>316</v>
      </c>
      <c r="E59" s="27" t="s">
        <v>317</v>
      </c>
      <c r="F59" s="27" t="s">
        <v>318</v>
      </c>
      <c r="G59" s="176" t="s">
        <v>319</v>
      </c>
      <c r="H59" s="177"/>
      <c r="I59" s="161"/>
      <c r="J59" s="161"/>
      <c r="K59" s="161"/>
      <c r="L59" s="161"/>
    </row>
    <row r="60" spans="2:12" ht="22.15" customHeight="1" x14ac:dyDescent="0.45">
      <c r="B60" s="161"/>
      <c r="C60" s="161"/>
      <c r="D60" s="161"/>
      <c r="E60" s="161"/>
      <c r="F60" s="161"/>
      <c r="G60" s="161"/>
      <c r="H60" s="161"/>
      <c r="I60" s="161"/>
      <c r="J60" s="161"/>
      <c r="K60" s="161"/>
      <c r="L60" s="161"/>
    </row>
    <row r="61" spans="2:12" ht="36" customHeight="1" x14ac:dyDescent="0.45">
      <c r="B61" s="222" t="s">
        <v>320</v>
      </c>
      <c r="C61" s="208"/>
      <c r="D61" s="185"/>
      <c r="E61" s="208"/>
      <c r="F61" s="208"/>
      <c r="G61" s="208"/>
      <c r="H61" s="185"/>
      <c r="I61" s="161"/>
      <c r="J61" s="161"/>
      <c r="K61" s="161"/>
      <c r="L61" s="161"/>
    </row>
    <row r="62" spans="2:12" ht="54" customHeight="1" x14ac:dyDescent="0.45">
      <c r="B62" s="19" t="s">
        <v>188</v>
      </c>
      <c r="C62" s="210" t="s">
        <v>321</v>
      </c>
      <c r="D62" s="185"/>
      <c r="E62" s="208"/>
      <c r="F62" s="208"/>
      <c r="G62" s="208"/>
      <c r="H62" s="185"/>
      <c r="I62" s="161"/>
      <c r="J62" s="161"/>
      <c r="K62" s="161"/>
      <c r="L62" s="161"/>
    </row>
    <row r="63" spans="2:12" ht="54" customHeight="1" x14ac:dyDescent="0.45">
      <c r="B63" s="19" t="s">
        <v>190</v>
      </c>
      <c r="C63" s="210" t="s">
        <v>322</v>
      </c>
      <c r="D63" s="185"/>
      <c r="E63" s="208"/>
      <c r="F63" s="208"/>
      <c r="G63" s="208"/>
      <c r="H63" s="185"/>
      <c r="I63" s="161"/>
      <c r="J63" s="161"/>
      <c r="K63" s="161"/>
      <c r="L63" s="161"/>
    </row>
    <row r="64" spans="2:12" ht="54" customHeight="1" x14ac:dyDescent="0.45">
      <c r="B64" s="20" t="s">
        <v>192</v>
      </c>
      <c r="C64" s="209" t="s">
        <v>323</v>
      </c>
      <c r="D64" s="185"/>
      <c r="E64" s="208"/>
      <c r="F64" s="208"/>
      <c r="G64" s="208"/>
      <c r="H64" s="185"/>
      <c r="I64" s="161"/>
      <c r="J64" s="161"/>
      <c r="K64" s="161"/>
      <c r="L64" s="161"/>
    </row>
    <row r="65" spans="2:12" ht="30" customHeight="1" x14ac:dyDescent="0.45">
      <c r="B65" s="2" t="s">
        <v>6</v>
      </c>
      <c r="C65" s="160" t="s">
        <v>150</v>
      </c>
      <c r="D65" s="160" t="s">
        <v>151</v>
      </c>
      <c r="E65" s="160" t="s">
        <v>152</v>
      </c>
      <c r="F65" s="160" t="s">
        <v>153</v>
      </c>
      <c r="G65" s="160" t="s">
        <v>154</v>
      </c>
      <c r="H65" s="2" t="s">
        <v>155</v>
      </c>
      <c r="I65" s="161"/>
      <c r="J65" s="161"/>
      <c r="K65" s="161"/>
      <c r="L65" s="161"/>
    </row>
    <row r="66" spans="2:12" ht="28.15" customHeight="1" x14ac:dyDescent="0.45">
      <c r="B66" s="170">
        <v>21</v>
      </c>
      <c r="C66" s="24" t="s">
        <v>324</v>
      </c>
      <c r="D66" s="171" t="s">
        <v>325</v>
      </c>
      <c r="E66" s="25" t="s">
        <v>326</v>
      </c>
      <c r="F66" s="25" t="s">
        <v>327</v>
      </c>
      <c r="G66" s="172" t="s">
        <v>328</v>
      </c>
      <c r="H66" s="173"/>
      <c r="I66" s="161"/>
      <c r="J66" s="161"/>
      <c r="K66" s="161"/>
      <c r="L66" s="161"/>
    </row>
    <row r="67" spans="2:12" ht="28.15" customHeight="1" x14ac:dyDescent="0.45">
      <c r="B67" s="174">
        <v>22</v>
      </c>
      <c r="C67" s="26" t="s">
        <v>329</v>
      </c>
      <c r="D67" s="175" t="s">
        <v>330</v>
      </c>
      <c r="E67" s="27" t="s">
        <v>331</v>
      </c>
      <c r="F67" s="27" t="s">
        <v>332</v>
      </c>
      <c r="G67" s="176" t="s">
        <v>333</v>
      </c>
      <c r="H67" s="177"/>
      <c r="I67" s="161"/>
      <c r="J67" s="161"/>
      <c r="K67" s="161"/>
      <c r="L67" s="161"/>
    </row>
    <row r="68" spans="2:12" ht="28.15" customHeight="1" x14ac:dyDescent="0.45">
      <c r="B68" s="170">
        <v>23</v>
      </c>
      <c r="C68" s="24" t="s">
        <v>334</v>
      </c>
      <c r="D68" s="171" t="s">
        <v>335</v>
      </c>
      <c r="E68" s="25" t="s">
        <v>336</v>
      </c>
      <c r="F68" s="25" t="s">
        <v>337</v>
      </c>
      <c r="G68" s="172" t="s">
        <v>338</v>
      </c>
      <c r="H68" s="173"/>
      <c r="I68" s="161"/>
      <c r="J68" s="161"/>
      <c r="K68" s="161"/>
      <c r="L68" s="161"/>
    </row>
    <row r="69" spans="2:12" ht="28.15" customHeight="1" x14ac:dyDescent="0.45">
      <c r="B69" s="174">
        <v>24</v>
      </c>
      <c r="C69" s="26" t="s">
        <v>339</v>
      </c>
      <c r="D69" s="175" t="s">
        <v>340</v>
      </c>
      <c r="E69" s="27" t="s">
        <v>341</v>
      </c>
      <c r="F69" s="27" t="s">
        <v>342</v>
      </c>
      <c r="G69" s="176" t="s">
        <v>343</v>
      </c>
      <c r="H69" s="177"/>
      <c r="I69" s="161"/>
      <c r="J69" s="161"/>
      <c r="K69" s="161"/>
      <c r="L69" s="161"/>
    </row>
    <row r="70" spans="2:12" ht="22.15" customHeight="1" x14ac:dyDescent="0.45">
      <c r="B70" s="161"/>
      <c r="C70" s="161"/>
      <c r="D70" s="161"/>
      <c r="E70" s="161"/>
      <c r="F70" s="161"/>
      <c r="G70" s="161"/>
      <c r="H70" s="161"/>
      <c r="I70" s="161"/>
      <c r="J70" s="161"/>
      <c r="K70" s="161"/>
      <c r="L70" s="161"/>
    </row>
    <row r="71" spans="2:12" ht="36" customHeight="1" x14ac:dyDescent="0.45">
      <c r="B71" s="212" t="s">
        <v>344</v>
      </c>
      <c r="C71" s="208"/>
      <c r="D71" s="185"/>
      <c r="E71" s="208"/>
      <c r="F71" s="208"/>
      <c r="G71" s="208"/>
      <c r="H71" s="185"/>
      <c r="I71" s="161"/>
      <c r="J71" s="161"/>
      <c r="K71" s="161"/>
      <c r="L71" s="161"/>
    </row>
    <row r="72" spans="2:12" ht="54" customHeight="1" x14ac:dyDescent="0.45">
      <c r="B72" s="19" t="s">
        <v>188</v>
      </c>
      <c r="C72" s="210" t="s">
        <v>345</v>
      </c>
      <c r="D72" s="185"/>
      <c r="E72" s="208"/>
      <c r="F72" s="208"/>
      <c r="G72" s="208"/>
      <c r="H72" s="185"/>
      <c r="I72" s="161"/>
      <c r="J72" s="161"/>
      <c r="K72" s="161"/>
      <c r="L72" s="161"/>
    </row>
    <row r="73" spans="2:12" ht="54" customHeight="1" x14ac:dyDescent="0.45">
      <c r="B73" s="19" t="s">
        <v>190</v>
      </c>
      <c r="C73" s="210" t="s">
        <v>346</v>
      </c>
      <c r="D73" s="185"/>
      <c r="E73" s="208"/>
      <c r="F73" s="208"/>
      <c r="G73" s="208"/>
      <c r="H73" s="185"/>
      <c r="I73" s="161"/>
      <c r="J73" s="161"/>
      <c r="K73" s="161"/>
      <c r="L73" s="161"/>
    </row>
    <row r="74" spans="2:12" ht="54" customHeight="1" x14ac:dyDescent="0.45">
      <c r="B74" s="20" t="s">
        <v>192</v>
      </c>
      <c r="C74" s="209" t="s">
        <v>347</v>
      </c>
      <c r="D74" s="185"/>
      <c r="E74" s="208"/>
      <c r="F74" s="208"/>
      <c r="G74" s="208"/>
      <c r="H74" s="185"/>
      <c r="I74" s="161"/>
      <c r="J74" s="161"/>
      <c r="K74" s="161"/>
      <c r="L74" s="161"/>
    </row>
    <row r="75" spans="2:12" ht="30" customHeight="1" x14ac:dyDescent="0.45">
      <c r="B75" s="2" t="s">
        <v>6</v>
      </c>
      <c r="C75" s="160" t="s">
        <v>150</v>
      </c>
      <c r="D75" s="160" t="s">
        <v>151</v>
      </c>
      <c r="E75" s="160" t="s">
        <v>152</v>
      </c>
      <c r="F75" s="160" t="s">
        <v>153</v>
      </c>
      <c r="G75" s="160" t="s">
        <v>154</v>
      </c>
      <c r="H75" s="2" t="s">
        <v>155</v>
      </c>
      <c r="I75" s="161"/>
      <c r="J75" s="161"/>
      <c r="K75" s="161"/>
      <c r="L75" s="161"/>
    </row>
    <row r="76" spans="2:12" ht="28.15" customHeight="1" x14ac:dyDescent="0.45">
      <c r="B76" s="170">
        <v>25</v>
      </c>
      <c r="C76" s="24" t="s">
        <v>348</v>
      </c>
      <c r="D76" s="171" t="s">
        <v>349</v>
      </c>
      <c r="E76" s="25" t="s">
        <v>350</v>
      </c>
      <c r="F76" s="25" t="s">
        <v>351</v>
      </c>
      <c r="G76" s="172" t="s">
        <v>352</v>
      </c>
      <c r="H76" s="173"/>
      <c r="I76" s="161"/>
      <c r="J76" s="161"/>
      <c r="K76" s="161"/>
      <c r="L76" s="161"/>
    </row>
    <row r="77" spans="2:12" ht="28.15" customHeight="1" x14ac:dyDescent="0.45">
      <c r="B77" s="174">
        <v>26</v>
      </c>
      <c r="C77" s="26" t="s">
        <v>353</v>
      </c>
      <c r="D77" s="175" t="s">
        <v>354</v>
      </c>
      <c r="E77" s="27" t="s">
        <v>355</v>
      </c>
      <c r="F77" s="27" t="s">
        <v>356</v>
      </c>
      <c r="G77" s="176" t="s">
        <v>357</v>
      </c>
      <c r="H77" s="177"/>
      <c r="I77" s="161"/>
      <c r="J77" s="161"/>
      <c r="K77" s="161"/>
      <c r="L77" s="161"/>
    </row>
    <row r="78" spans="2:12" ht="28.15" customHeight="1" x14ac:dyDescent="0.45">
      <c r="B78" s="170">
        <v>27</v>
      </c>
      <c r="C78" s="24" t="s">
        <v>358</v>
      </c>
      <c r="D78" s="171" t="s">
        <v>359</v>
      </c>
      <c r="E78" s="25" t="s">
        <v>360</v>
      </c>
      <c r="F78" s="25" t="s">
        <v>361</v>
      </c>
      <c r="G78" s="172" t="s">
        <v>362</v>
      </c>
      <c r="H78" s="173"/>
      <c r="I78" s="161"/>
      <c r="J78" s="161"/>
      <c r="K78" s="161"/>
      <c r="L78" s="161"/>
    </row>
    <row r="79" spans="2:12" ht="28.15" customHeight="1" x14ac:dyDescent="0.45">
      <c r="B79" s="174">
        <v>28</v>
      </c>
      <c r="C79" s="26" t="s">
        <v>363</v>
      </c>
      <c r="D79" s="175" t="s">
        <v>364</v>
      </c>
      <c r="E79" s="27" t="s">
        <v>365</v>
      </c>
      <c r="F79" s="27" t="s">
        <v>366</v>
      </c>
      <c r="G79" s="176" t="s">
        <v>367</v>
      </c>
      <c r="H79" s="177"/>
      <c r="I79" s="161"/>
      <c r="J79" s="161"/>
      <c r="K79" s="161"/>
      <c r="L79" s="161"/>
    </row>
    <row r="80" spans="2:12" ht="28.15" customHeight="1" x14ac:dyDescent="0.45">
      <c r="B80" s="170">
        <v>29</v>
      </c>
      <c r="C80" s="24" t="s">
        <v>368</v>
      </c>
      <c r="D80" s="171" t="s">
        <v>369</v>
      </c>
      <c r="E80" s="25" t="s">
        <v>370</v>
      </c>
      <c r="F80" s="25" t="s">
        <v>371</v>
      </c>
      <c r="G80" s="172" t="s">
        <v>372</v>
      </c>
      <c r="H80" s="173"/>
      <c r="I80" s="161"/>
      <c r="J80" s="161"/>
      <c r="K80" s="161"/>
      <c r="L80" s="161"/>
    </row>
    <row r="81" spans="2:12" ht="28.15" customHeight="1" x14ac:dyDescent="0.45">
      <c r="B81" s="174">
        <v>30</v>
      </c>
      <c r="C81" s="26" t="s">
        <v>373</v>
      </c>
      <c r="D81" s="175" t="s">
        <v>374</v>
      </c>
      <c r="E81" s="27" t="s">
        <v>375</v>
      </c>
      <c r="F81" s="27" t="s">
        <v>232</v>
      </c>
      <c r="G81" s="176" t="s">
        <v>376</v>
      </c>
      <c r="H81" s="177"/>
      <c r="I81" s="161"/>
      <c r="J81" s="161"/>
      <c r="K81" s="161"/>
      <c r="L81" s="161"/>
    </row>
    <row r="82" spans="2:12" ht="22.15" customHeight="1" x14ac:dyDescent="0.45">
      <c r="B82" s="161"/>
      <c r="C82" s="161"/>
      <c r="D82" s="161"/>
      <c r="E82" s="161"/>
      <c r="F82" s="161"/>
      <c r="G82" s="161"/>
      <c r="H82" s="161"/>
      <c r="I82" s="161"/>
      <c r="J82" s="161"/>
      <c r="K82" s="161"/>
      <c r="L82" s="161"/>
    </row>
    <row r="83" spans="2:12" ht="36" customHeight="1" x14ac:dyDescent="0.45">
      <c r="B83" s="212" t="s">
        <v>377</v>
      </c>
      <c r="C83" s="208"/>
      <c r="D83" s="185"/>
      <c r="E83" s="208"/>
      <c r="F83" s="208"/>
      <c r="G83" s="208"/>
      <c r="H83" s="185"/>
      <c r="I83" s="161"/>
      <c r="J83" s="161"/>
      <c r="K83" s="161"/>
      <c r="L83" s="161"/>
    </row>
    <row r="84" spans="2:12" ht="54" customHeight="1" x14ac:dyDescent="0.45">
      <c r="B84" s="19" t="s">
        <v>188</v>
      </c>
      <c r="C84" s="210" t="s">
        <v>378</v>
      </c>
      <c r="D84" s="185"/>
      <c r="E84" s="208"/>
      <c r="F84" s="208"/>
      <c r="G84" s="208"/>
      <c r="H84" s="185"/>
      <c r="I84" s="161"/>
      <c r="J84" s="161"/>
      <c r="K84" s="161"/>
      <c r="L84" s="161"/>
    </row>
    <row r="85" spans="2:12" ht="54" customHeight="1" x14ac:dyDescent="0.45">
      <c r="B85" s="19" t="s">
        <v>190</v>
      </c>
      <c r="C85" s="210" t="s">
        <v>379</v>
      </c>
      <c r="D85" s="185"/>
      <c r="E85" s="208"/>
      <c r="F85" s="208"/>
      <c r="G85" s="208"/>
      <c r="H85" s="185"/>
      <c r="I85" s="161"/>
      <c r="J85" s="161"/>
      <c r="K85" s="161"/>
      <c r="L85" s="161"/>
    </row>
    <row r="86" spans="2:12" ht="54" customHeight="1" x14ac:dyDescent="0.45">
      <c r="B86" s="20" t="s">
        <v>192</v>
      </c>
      <c r="C86" s="209" t="s">
        <v>380</v>
      </c>
      <c r="D86" s="185"/>
      <c r="E86" s="208"/>
      <c r="F86" s="208"/>
      <c r="G86" s="208"/>
      <c r="H86" s="185"/>
      <c r="I86" s="161"/>
      <c r="J86" s="161"/>
      <c r="K86" s="161"/>
      <c r="L86" s="161"/>
    </row>
    <row r="87" spans="2:12" ht="30" customHeight="1" x14ac:dyDescent="0.45">
      <c r="B87" s="2" t="s">
        <v>6</v>
      </c>
      <c r="C87" s="160" t="s">
        <v>150</v>
      </c>
      <c r="D87" s="160" t="s">
        <v>151</v>
      </c>
      <c r="E87" s="160" t="s">
        <v>152</v>
      </c>
      <c r="F87" s="160" t="s">
        <v>153</v>
      </c>
      <c r="G87" s="160" t="s">
        <v>154</v>
      </c>
      <c r="H87" s="2" t="s">
        <v>155</v>
      </c>
      <c r="I87" s="161"/>
      <c r="J87" s="161"/>
      <c r="K87" s="161"/>
      <c r="L87" s="161"/>
    </row>
    <row r="88" spans="2:12" ht="28.15" customHeight="1" x14ac:dyDescent="0.45">
      <c r="B88" s="170">
        <v>31</v>
      </c>
      <c r="C88" s="24" t="s">
        <v>381</v>
      </c>
      <c r="D88" s="171" t="s">
        <v>382</v>
      </c>
      <c r="E88" s="25" t="s">
        <v>383</v>
      </c>
      <c r="F88" s="25" t="s">
        <v>384</v>
      </c>
      <c r="G88" s="172" t="s">
        <v>385</v>
      </c>
      <c r="H88" s="173"/>
      <c r="I88" s="161"/>
      <c r="J88" s="161"/>
      <c r="K88" s="161"/>
      <c r="L88" s="161"/>
    </row>
    <row r="89" spans="2:12" ht="28.15" customHeight="1" x14ac:dyDescent="0.45">
      <c r="B89" s="174">
        <v>32</v>
      </c>
      <c r="C89" s="26" t="s">
        <v>386</v>
      </c>
      <c r="D89" s="175" t="s">
        <v>387</v>
      </c>
      <c r="E89" s="27" t="s">
        <v>388</v>
      </c>
      <c r="F89" s="27" t="s">
        <v>389</v>
      </c>
      <c r="G89" s="176" t="s">
        <v>390</v>
      </c>
      <c r="H89" s="177"/>
      <c r="I89" s="161"/>
      <c r="J89" s="161"/>
      <c r="K89" s="161"/>
      <c r="L89" s="161"/>
    </row>
    <row r="90" spans="2:12" ht="28.15" customHeight="1" x14ac:dyDescent="0.45">
      <c r="B90" s="170">
        <v>33</v>
      </c>
      <c r="C90" s="24" t="s">
        <v>391</v>
      </c>
      <c r="D90" s="171" t="s">
        <v>392</v>
      </c>
      <c r="E90" s="25" t="s">
        <v>393</v>
      </c>
      <c r="F90" s="25" t="s">
        <v>394</v>
      </c>
      <c r="G90" s="172" t="s">
        <v>395</v>
      </c>
      <c r="H90" s="173"/>
      <c r="I90" s="161"/>
      <c r="J90" s="161"/>
      <c r="K90" s="161"/>
      <c r="L90" s="161"/>
    </row>
    <row r="91" spans="2:12" ht="28.15" customHeight="1" x14ac:dyDescent="0.45">
      <c r="B91" s="174">
        <v>34</v>
      </c>
      <c r="C91" s="26" t="s">
        <v>396</v>
      </c>
      <c r="D91" s="175" t="s">
        <v>397</v>
      </c>
      <c r="E91" s="27" t="s">
        <v>398</v>
      </c>
      <c r="F91" s="27" t="s">
        <v>399</v>
      </c>
      <c r="G91" s="176" t="s">
        <v>400</v>
      </c>
      <c r="H91" s="177"/>
      <c r="I91" s="161"/>
      <c r="J91" s="161"/>
      <c r="K91" s="161"/>
      <c r="L91" s="161"/>
    </row>
    <row r="92" spans="2:12" ht="28.15" customHeight="1" x14ac:dyDescent="0.45">
      <c r="B92" s="170">
        <v>35</v>
      </c>
      <c r="C92" s="24" t="s">
        <v>401</v>
      </c>
      <c r="D92" s="171" t="s">
        <v>402</v>
      </c>
      <c r="E92" s="25" t="s">
        <v>403</v>
      </c>
      <c r="F92" s="25" t="s">
        <v>404</v>
      </c>
      <c r="G92" s="172" t="s">
        <v>405</v>
      </c>
      <c r="H92" s="173"/>
      <c r="I92" s="161"/>
      <c r="J92" s="161"/>
      <c r="K92" s="161"/>
      <c r="L92" s="161"/>
    </row>
    <row r="93" spans="2:12" ht="22.15" customHeight="1" x14ac:dyDescent="0.45">
      <c r="B93" s="161"/>
      <c r="C93" s="161"/>
      <c r="D93" s="161"/>
      <c r="E93" s="161"/>
      <c r="F93" s="161"/>
      <c r="G93" s="161"/>
      <c r="H93" s="161"/>
      <c r="I93" s="161"/>
      <c r="J93" s="161"/>
      <c r="K93" s="161"/>
      <c r="L93" s="161"/>
    </row>
    <row r="94" spans="2:12" ht="36" customHeight="1" x14ac:dyDescent="0.45">
      <c r="B94" s="222" t="s">
        <v>406</v>
      </c>
      <c r="C94" s="208"/>
      <c r="D94" s="185"/>
      <c r="E94" s="208"/>
      <c r="F94" s="208"/>
      <c r="G94" s="208"/>
      <c r="H94" s="185"/>
      <c r="I94" s="161"/>
      <c r="J94" s="161"/>
      <c r="K94" s="161"/>
      <c r="L94" s="161"/>
    </row>
    <row r="95" spans="2:12" ht="54" customHeight="1" x14ac:dyDescent="0.45">
      <c r="B95" s="19" t="s">
        <v>188</v>
      </c>
      <c r="C95" s="210" t="s">
        <v>407</v>
      </c>
      <c r="D95" s="185"/>
      <c r="E95" s="208"/>
      <c r="F95" s="208"/>
      <c r="G95" s="208"/>
      <c r="H95" s="185"/>
      <c r="I95" s="161"/>
      <c r="J95" s="161"/>
      <c r="K95" s="161"/>
      <c r="L95" s="161"/>
    </row>
    <row r="96" spans="2:12" ht="54" customHeight="1" x14ac:dyDescent="0.45">
      <c r="B96" s="19" t="s">
        <v>190</v>
      </c>
      <c r="C96" s="210" t="s">
        <v>408</v>
      </c>
      <c r="D96" s="185"/>
      <c r="E96" s="208"/>
      <c r="F96" s="208"/>
      <c r="G96" s="208"/>
      <c r="H96" s="185"/>
      <c r="I96" s="161"/>
      <c r="J96" s="161"/>
      <c r="K96" s="161"/>
      <c r="L96" s="161"/>
    </row>
    <row r="97" spans="2:12" ht="54" customHeight="1" x14ac:dyDescent="0.45">
      <c r="B97" s="20" t="s">
        <v>192</v>
      </c>
      <c r="C97" s="209" t="s">
        <v>409</v>
      </c>
      <c r="D97" s="185"/>
      <c r="E97" s="208"/>
      <c r="F97" s="208"/>
      <c r="G97" s="208"/>
      <c r="H97" s="185"/>
      <c r="I97" s="161"/>
      <c r="J97" s="161"/>
      <c r="K97" s="161"/>
      <c r="L97" s="161"/>
    </row>
    <row r="98" spans="2:12" ht="30" customHeight="1" x14ac:dyDescent="0.45">
      <c r="B98" s="2" t="s">
        <v>6</v>
      </c>
      <c r="C98" s="160" t="s">
        <v>150</v>
      </c>
      <c r="D98" s="160" t="s">
        <v>151</v>
      </c>
      <c r="E98" s="160" t="s">
        <v>152</v>
      </c>
      <c r="F98" s="160" t="s">
        <v>153</v>
      </c>
      <c r="G98" s="160" t="s">
        <v>154</v>
      </c>
      <c r="H98" s="2" t="s">
        <v>155</v>
      </c>
      <c r="I98" s="161"/>
      <c r="J98" s="161"/>
      <c r="K98" s="161"/>
      <c r="L98" s="161"/>
    </row>
    <row r="99" spans="2:12" ht="28.15" customHeight="1" x14ac:dyDescent="0.45">
      <c r="B99" s="174">
        <v>36</v>
      </c>
      <c r="C99" s="26" t="s">
        <v>410</v>
      </c>
      <c r="D99" s="175" t="s">
        <v>411</v>
      </c>
      <c r="E99" s="27" t="s">
        <v>412</v>
      </c>
      <c r="F99" s="27" t="s">
        <v>413</v>
      </c>
      <c r="G99" s="176" t="s">
        <v>414</v>
      </c>
      <c r="H99" s="177"/>
      <c r="I99" s="161"/>
      <c r="J99" s="161"/>
      <c r="K99" s="161"/>
      <c r="L99" s="161"/>
    </row>
    <row r="100" spans="2:12" ht="28.15" customHeight="1" x14ac:dyDescent="0.45">
      <c r="B100" s="170">
        <v>37</v>
      </c>
      <c r="C100" s="24" t="s">
        <v>415</v>
      </c>
      <c r="D100" s="171" t="s">
        <v>416</v>
      </c>
      <c r="E100" s="25" t="s">
        <v>417</v>
      </c>
      <c r="F100" s="25" t="s">
        <v>418</v>
      </c>
      <c r="G100" s="172" t="s">
        <v>419</v>
      </c>
      <c r="H100" s="173"/>
      <c r="I100" s="161"/>
      <c r="J100" s="161"/>
      <c r="K100" s="161"/>
      <c r="L100" s="161"/>
    </row>
    <row r="101" spans="2:12" ht="28.15" customHeight="1" x14ac:dyDescent="0.45">
      <c r="B101" s="174">
        <v>38</v>
      </c>
      <c r="C101" s="26" t="s">
        <v>420</v>
      </c>
      <c r="D101" s="175" t="s">
        <v>421</v>
      </c>
      <c r="E101" s="27" t="s">
        <v>422</v>
      </c>
      <c r="F101" s="27" t="s">
        <v>423</v>
      </c>
      <c r="G101" s="176" t="s">
        <v>424</v>
      </c>
      <c r="H101" s="177"/>
      <c r="I101" s="161"/>
      <c r="J101" s="161"/>
      <c r="K101" s="161"/>
      <c r="L101" s="161"/>
    </row>
    <row r="102" spans="2:12" ht="28.15" customHeight="1" x14ac:dyDescent="0.45">
      <c r="B102" s="170">
        <v>39</v>
      </c>
      <c r="C102" s="24" t="s">
        <v>425</v>
      </c>
      <c r="D102" s="171" t="s">
        <v>426</v>
      </c>
      <c r="E102" s="25" t="s">
        <v>427</v>
      </c>
      <c r="F102" s="25" t="s">
        <v>232</v>
      </c>
      <c r="G102" s="172" t="s">
        <v>428</v>
      </c>
      <c r="H102" s="173"/>
      <c r="I102" s="161"/>
      <c r="J102" s="161"/>
      <c r="K102" s="161"/>
      <c r="L102" s="161"/>
    </row>
    <row r="103" spans="2:12" ht="28.15" customHeight="1" x14ac:dyDescent="0.45">
      <c r="B103" s="174">
        <v>40</v>
      </c>
      <c r="C103" s="26" t="s">
        <v>429</v>
      </c>
      <c r="D103" s="175" t="s">
        <v>430</v>
      </c>
      <c r="E103" s="27" t="s">
        <v>431</v>
      </c>
      <c r="F103" s="27" t="s">
        <v>232</v>
      </c>
      <c r="G103" s="176" t="s">
        <v>432</v>
      </c>
      <c r="H103" s="177"/>
      <c r="I103" s="161"/>
      <c r="J103" s="161"/>
      <c r="K103" s="161"/>
      <c r="L103" s="161"/>
    </row>
    <row r="104" spans="2:12" ht="28.15" customHeight="1" x14ac:dyDescent="0.45">
      <c r="B104" s="170">
        <v>41</v>
      </c>
      <c r="C104" s="24" t="s">
        <v>433</v>
      </c>
      <c r="D104" s="171" t="s">
        <v>434</v>
      </c>
      <c r="E104" s="25" t="s">
        <v>435</v>
      </c>
      <c r="F104" s="25" t="s">
        <v>436</v>
      </c>
      <c r="G104" s="172" t="s">
        <v>437</v>
      </c>
      <c r="H104" s="173"/>
      <c r="I104" s="161"/>
      <c r="J104" s="161"/>
      <c r="K104" s="161"/>
      <c r="L104" s="161"/>
    </row>
    <row r="105" spans="2:12" ht="28.15" customHeight="1" x14ac:dyDescent="0.45">
      <c r="B105" s="174">
        <v>42</v>
      </c>
      <c r="C105" s="26" t="s">
        <v>438</v>
      </c>
      <c r="D105" s="175" t="s">
        <v>439</v>
      </c>
      <c r="E105" s="27" t="s">
        <v>440</v>
      </c>
      <c r="F105" s="27" t="s">
        <v>441</v>
      </c>
      <c r="G105" s="176" t="s">
        <v>442</v>
      </c>
      <c r="H105" s="177"/>
      <c r="I105" s="161"/>
      <c r="J105" s="161"/>
      <c r="K105" s="161"/>
      <c r="L105" s="161"/>
    </row>
    <row r="106" spans="2:12" ht="22.15" customHeight="1" x14ac:dyDescent="0.45">
      <c r="B106" s="161"/>
      <c r="C106" s="161"/>
      <c r="D106" s="161"/>
      <c r="E106" s="161"/>
      <c r="F106" s="161"/>
      <c r="G106" s="161"/>
      <c r="H106" s="161"/>
      <c r="I106" s="161"/>
      <c r="J106" s="161"/>
      <c r="K106" s="161"/>
      <c r="L106" s="161"/>
    </row>
    <row r="107" spans="2:12" ht="36" customHeight="1" x14ac:dyDescent="0.45">
      <c r="B107" s="222" t="s">
        <v>443</v>
      </c>
      <c r="C107" s="208"/>
      <c r="D107" s="185"/>
      <c r="E107" s="208"/>
      <c r="F107" s="208"/>
      <c r="G107" s="208"/>
      <c r="H107" s="185"/>
      <c r="I107" s="161"/>
      <c r="J107" s="161"/>
      <c r="K107" s="161"/>
      <c r="L107" s="161"/>
    </row>
    <row r="108" spans="2:12" ht="54" customHeight="1" x14ac:dyDescent="0.45">
      <c r="B108" s="19" t="s">
        <v>188</v>
      </c>
      <c r="C108" s="210" t="s">
        <v>444</v>
      </c>
      <c r="D108" s="185"/>
      <c r="E108" s="208"/>
      <c r="F108" s="208"/>
      <c r="G108" s="208"/>
      <c r="H108" s="185"/>
      <c r="I108" s="161"/>
      <c r="J108" s="161"/>
      <c r="K108" s="161"/>
      <c r="L108" s="161"/>
    </row>
    <row r="109" spans="2:12" ht="54" customHeight="1" x14ac:dyDescent="0.45">
      <c r="B109" s="19" t="s">
        <v>190</v>
      </c>
      <c r="C109" s="210" t="s">
        <v>445</v>
      </c>
      <c r="D109" s="185"/>
      <c r="E109" s="208"/>
      <c r="F109" s="208"/>
      <c r="G109" s="208"/>
      <c r="H109" s="185"/>
      <c r="I109" s="161"/>
      <c r="J109" s="161"/>
      <c r="K109" s="161"/>
      <c r="L109" s="161"/>
    </row>
    <row r="110" spans="2:12" ht="54" customHeight="1" x14ac:dyDescent="0.45">
      <c r="B110" s="20" t="s">
        <v>192</v>
      </c>
      <c r="C110" s="209" t="s">
        <v>446</v>
      </c>
      <c r="D110" s="185"/>
      <c r="E110" s="208"/>
      <c r="F110" s="208"/>
      <c r="G110" s="208"/>
      <c r="H110" s="185"/>
      <c r="I110" s="161"/>
      <c r="J110" s="161"/>
      <c r="K110" s="161"/>
      <c r="L110" s="161"/>
    </row>
    <row r="111" spans="2:12" ht="30" customHeight="1" x14ac:dyDescent="0.45">
      <c r="B111" s="2" t="s">
        <v>6</v>
      </c>
      <c r="C111" s="160" t="s">
        <v>150</v>
      </c>
      <c r="D111" s="160" t="s">
        <v>151</v>
      </c>
      <c r="E111" s="160" t="s">
        <v>152</v>
      </c>
      <c r="F111" s="160" t="s">
        <v>153</v>
      </c>
      <c r="G111" s="160" t="s">
        <v>154</v>
      </c>
      <c r="H111" s="2" t="s">
        <v>155</v>
      </c>
      <c r="I111" s="161"/>
      <c r="J111" s="161"/>
      <c r="K111" s="161"/>
      <c r="L111" s="161"/>
    </row>
    <row r="112" spans="2:12" ht="28.15" customHeight="1" x14ac:dyDescent="0.45">
      <c r="B112" s="170">
        <v>43</v>
      </c>
      <c r="C112" s="24" t="s">
        <v>447</v>
      </c>
      <c r="D112" s="171" t="s">
        <v>448</v>
      </c>
      <c r="E112" s="25" t="s">
        <v>449</v>
      </c>
      <c r="F112" s="25" t="s">
        <v>450</v>
      </c>
      <c r="G112" s="172" t="s">
        <v>451</v>
      </c>
      <c r="H112" s="173"/>
      <c r="I112" s="161"/>
      <c r="J112" s="161"/>
      <c r="K112" s="161"/>
      <c r="L112" s="161"/>
    </row>
    <row r="113" spans="2:12" ht="28.15" customHeight="1" x14ac:dyDescent="0.45">
      <c r="B113" s="174">
        <v>44</v>
      </c>
      <c r="C113" s="26" t="s">
        <v>452</v>
      </c>
      <c r="D113" s="175" t="s">
        <v>453</v>
      </c>
      <c r="E113" s="27" t="s">
        <v>454</v>
      </c>
      <c r="F113" s="27" t="s">
        <v>455</v>
      </c>
      <c r="G113" s="176" t="s">
        <v>456</v>
      </c>
      <c r="H113" s="177"/>
      <c r="I113" s="161"/>
      <c r="J113" s="161"/>
      <c r="K113" s="161"/>
      <c r="L113" s="161"/>
    </row>
    <row r="114" spans="2:12" ht="28.15" customHeight="1" x14ac:dyDescent="0.45">
      <c r="B114" s="170">
        <v>45</v>
      </c>
      <c r="C114" s="24" t="s">
        <v>457</v>
      </c>
      <c r="D114" s="171" t="s">
        <v>458</v>
      </c>
      <c r="E114" s="25" t="s">
        <v>459</v>
      </c>
      <c r="F114" s="25" t="s">
        <v>460</v>
      </c>
      <c r="G114" s="172" t="s">
        <v>461</v>
      </c>
      <c r="H114" s="173"/>
      <c r="I114" s="161"/>
      <c r="J114" s="161"/>
      <c r="K114" s="161"/>
      <c r="L114" s="161"/>
    </row>
    <row r="115" spans="2:12" ht="28.15" customHeight="1" x14ac:dyDescent="0.45">
      <c r="B115" s="174">
        <v>46</v>
      </c>
      <c r="C115" s="26" t="s">
        <v>462</v>
      </c>
      <c r="D115" s="175" t="s">
        <v>463</v>
      </c>
      <c r="E115" s="27" t="s">
        <v>464</v>
      </c>
      <c r="F115" s="27" t="s">
        <v>232</v>
      </c>
      <c r="G115" s="176" t="s">
        <v>465</v>
      </c>
      <c r="H115" s="177"/>
      <c r="I115" s="161"/>
      <c r="J115" s="161"/>
      <c r="K115" s="161"/>
      <c r="L115" s="161"/>
    </row>
    <row r="116" spans="2:12" ht="28.15" customHeight="1" x14ac:dyDescent="0.45">
      <c r="B116" s="170">
        <v>47</v>
      </c>
      <c r="C116" s="24" t="s">
        <v>466</v>
      </c>
      <c r="D116" s="171" t="s">
        <v>467</v>
      </c>
      <c r="E116" s="25" t="s">
        <v>468</v>
      </c>
      <c r="F116" s="25" t="s">
        <v>469</v>
      </c>
      <c r="G116" s="172" t="s">
        <v>470</v>
      </c>
      <c r="H116" s="173"/>
      <c r="I116" s="161"/>
      <c r="J116" s="161"/>
      <c r="K116" s="161"/>
      <c r="L116" s="161"/>
    </row>
    <row r="117" spans="2:12" ht="22.15" customHeight="1" x14ac:dyDescent="0.45">
      <c r="B117" s="161"/>
      <c r="C117" s="161"/>
      <c r="D117" s="161"/>
      <c r="E117" s="161"/>
      <c r="F117" s="161"/>
      <c r="G117" s="161"/>
      <c r="H117" s="161"/>
      <c r="I117" s="161"/>
      <c r="J117" s="161"/>
      <c r="K117" s="161"/>
      <c r="L117" s="161"/>
    </row>
    <row r="118" spans="2:12" ht="36" customHeight="1" x14ac:dyDescent="0.45">
      <c r="B118" s="238" t="s">
        <v>471</v>
      </c>
      <c r="C118" s="208"/>
      <c r="D118" s="185"/>
      <c r="E118" s="208"/>
      <c r="F118" s="208"/>
      <c r="G118" s="208"/>
      <c r="H118" s="185"/>
      <c r="I118" s="161"/>
      <c r="J118" s="161"/>
      <c r="K118" s="161"/>
      <c r="L118" s="161"/>
    </row>
    <row r="119" spans="2:12" ht="54" customHeight="1" x14ac:dyDescent="0.45">
      <c r="B119" s="19" t="s">
        <v>188</v>
      </c>
      <c r="C119" s="210" t="s">
        <v>472</v>
      </c>
      <c r="D119" s="185"/>
      <c r="E119" s="208"/>
      <c r="F119" s="208"/>
      <c r="G119" s="208"/>
      <c r="H119" s="185"/>
      <c r="I119" s="161"/>
      <c r="J119" s="161"/>
      <c r="K119" s="161"/>
      <c r="L119" s="161"/>
    </row>
    <row r="120" spans="2:12" ht="54" customHeight="1" x14ac:dyDescent="0.45">
      <c r="B120" s="19" t="s">
        <v>190</v>
      </c>
      <c r="C120" s="210" t="s">
        <v>473</v>
      </c>
      <c r="D120" s="185"/>
      <c r="E120" s="208"/>
      <c r="F120" s="208"/>
      <c r="G120" s="208"/>
      <c r="H120" s="185"/>
      <c r="I120" s="161"/>
      <c r="J120" s="161"/>
      <c r="K120" s="161"/>
      <c r="L120" s="161"/>
    </row>
    <row r="121" spans="2:12" ht="54" customHeight="1" x14ac:dyDescent="0.45">
      <c r="B121" s="20" t="s">
        <v>192</v>
      </c>
      <c r="C121" s="209" t="s">
        <v>474</v>
      </c>
      <c r="D121" s="185"/>
      <c r="E121" s="208"/>
      <c r="F121" s="208"/>
      <c r="G121" s="208"/>
      <c r="H121" s="185"/>
      <c r="I121" s="161"/>
      <c r="J121" s="161"/>
      <c r="K121" s="161"/>
      <c r="L121" s="161"/>
    </row>
    <row r="122" spans="2:12" ht="30" customHeight="1" x14ac:dyDescent="0.45">
      <c r="B122" s="2" t="s">
        <v>6</v>
      </c>
      <c r="C122" s="160" t="s">
        <v>150</v>
      </c>
      <c r="D122" s="160" t="s">
        <v>151</v>
      </c>
      <c r="E122" s="160" t="s">
        <v>152</v>
      </c>
      <c r="F122" s="160" t="s">
        <v>153</v>
      </c>
      <c r="G122" s="160" t="s">
        <v>154</v>
      </c>
      <c r="H122" s="2" t="s">
        <v>155</v>
      </c>
      <c r="I122" s="161"/>
      <c r="J122" s="161"/>
      <c r="K122" s="161"/>
      <c r="L122" s="161"/>
    </row>
    <row r="123" spans="2:12" ht="28.15" customHeight="1" x14ac:dyDescent="0.45">
      <c r="B123" s="174">
        <v>48</v>
      </c>
      <c r="C123" s="26" t="s">
        <v>475</v>
      </c>
      <c r="D123" s="175" t="s">
        <v>476</v>
      </c>
      <c r="E123" s="27" t="s">
        <v>477</v>
      </c>
      <c r="F123" s="27" t="s">
        <v>478</v>
      </c>
      <c r="G123" s="176" t="s">
        <v>479</v>
      </c>
      <c r="H123" s="177"/>
      <c r="I123" s="161"/>
      <c r="J123" s="161"/>
      <c r="K123" s="161"/>
      <c r="L123" s="161"/>
    </row>
    <row r="124" spans="2:12" ht="28.15" customHeight="1" x14ac:dyDescent="0.45">
      <c r="B124" s="170">
        <v>49</v>
      </c>
      <c r="C124" s="24" t="s">
        <v>480</v>
      </c>
      <c r="D124" s="171" t="s">
        <v>481</v>
      </c>
      <c r="E124" s="25" t="s">
        <v>482</v>
      </c>
      <c r="F124" s="25" t="s">
        <v>483</v>
      </c>
      <c r="G124" s="172" t="s">
        <v>484</v>
      </c>
      <c r="H124" s="173"/>
      <c r="I124" s="161"/>
      <c r="J124" s="161"/>
      <c r="K124" s="161"/>
      <c r="L124" s="161"/>
    </row>
    <row r="125" spans="2:12" ht="28.15" customHeight="1" x14ac:dyDescent="0.45">
      <c r="B125" s="174">
        <v>50</v>
      </c>
      <c r="C125" s="26" t="s">
        <v>485</v>
      </c>
      <c r="D125" s="175" t="s">
        <v>486</v>
      </c>
      <c r="E125" s="27" t="s">
        <v>487</v>
      </c>
      <c r="F125" s="27" t="s">
        <v>488</v>
      </c>
      <c r="G125" s="176" t="s">
        <v>489</v>
      </c>
      <c r="H125" s="177"/>
      <c r="I125" s="161"/>
      <c r="J125" s="161"/>
      <c r="K125" s="161"/>
      <c r="L125" s="161"/>
    </row>
    <row r="126" spans="2:12" ht="28.15" customHeight="1" x14ac:dyDescent="0.45">
      <c r="B126" s="170">
        <v>51</v>
      </c>
      <c r="C126" s="24" t="s">
        <v>490</v>
      </c>
      <c r="D126" s="171" t="s">
        <v>491</v>
      </c>
      <c r="E126" s="25" t="s">
        <v>492</v>
      </c>
      <c r="F126" s="25" t="s">
        <v>232</v>
      </c>
      <c r="G126" s="172" t="s">
        <v>493</v>
      </c>
      <c r="H126" s="173"/>
      <c r="I126" s="161"/>
      <c r="J126" s="161"/>
      <c r="K126" s="161"/>
      <c r="L126" s="161"/>
    </row>
    <row r="127" spans="2:12" ht="28.15" customHeight="1" x14ac:dyDescent="0.45">
      <c r="B127" s="174">
        <v>52</v>
      </c>
      <c r="C127" s="26" t="s">
        <v>494</v>
      </c>
      <c r="D127" s="175" t="s">
        <v>495</v>
      </c>
      <c r="E127" s="27" t="s">
        <v>496</v>
      </c>
      <c r="F127" s="27" t="s">
        <v>497</v>
      </c>
      <c r="G127" s="176" t="s">
        <v>498</v>
      </c>
      <c r="H127" s="177"/>
      <c r="I127" s="161"/>
      <c r="J127" s="161"/>
      <c r="K127" s="161"/>
      <c r="L127" s="161"/>
    </row>
    <row r="128" spans="2:12" ht="28.15" customHeight="1" x14ac:dyDescent="0.45">
      <c r="B128" s="170">
        <v>53</v>
      </c>
      <c r="C128" s="24" t="s">
        <v>499</v>
      </c>
      <c r="D128" s="171" t="s">
        <v>500</v>
      </c>
      <c r="E128" s="25" t="s">
        <v>501</v>
      </c>
      <c r="F128" s="25" t="s">
        <v>502</v>
      </c>
      <c r="G128" s="172" t="s">
        <v>503</v>
      </c>
      <c r="H128" s="173"/>
      <c r="I128" s="161"/>
      <c r="J128" s="161"/>
      <c r="K128" s="161"/>
      <c r="L128" s="161"/>
    </row>
    <row r="129" spans="2:12" ht="28.15" customHeight="1" x14ac:dyDescent="0.45">
      <c r="B129" s="174">
        <v>54</v>
      </c>
      <c r="C129" s="26" t="s">
        <v>504</v>
      </c>
      <c r="D129" s="175" t="s">
        <v>505</v>
      </c>
      <c r="E129" s="27" t="s">
        <v>506</v>
      </c>
      <c r="F129" s="27" t="s">
        <v>507</v>
      </c>
      <c r="G129" s="176" t="s">
        <v>508</v>
      </c>
      <c r="H129" s="177"/>
      <c r="I129" s="161"/>
      <c r="J129" s="161"/>
      <c r="K129" s="161"/>
      <c r="L129" s="161"/>
    </row>
    <row r="130" spans="2:12" ht="28.15" customHeight="1" x14ac:dyDescent="0.45">
      <c r="B130" s="170">
        <v>55</v>
      </c>
      <c r="C130" s="24" t="s">
        <v>509</v>
      </c>
      <c r="D130" s="171" t="s">
        <v>510</v>
      </c>
      <c r="E130" s="25" t="s">
        <v>511</v>
      </c>
      <c r="F130" s="25" t="s">
        <v>232</v>
      </c>
      <c r="G130" s="172" t="s">
        <v>512</v>
      </c>
      <c r="H130" s="173"/>
      <c r="I130" s="161"/>
      <c r="J130" s="161"/>
      <c r="K130" s="161"/>
      <c r="L130" s="161"/>
    </row>
    <row r="131" spans="2:12" ht="28.15" customHeight="1" x14ac:dyDescent="0.45">
      <c r="B131" s="174">
        <v>56</v>
      </c>
      <c r="C131" s="26" t="s">
        <v>513</v>
      </c>
      <c r="D131" s="175" t="s">
        <v>514</v>
      </c>
      <c r="E131" s="27" t="s">
        <v>515</v>
      </c>
      <c r="F131" s="27" t="s">
        <v>516</v>
      </c>
      <c r="G131" s="176" t="s">
        <v>517</v>
      </c>
      <c r="H131" s="177"/>
      <c r="I131" s="161"/>
      <c r="J131" s="161"/>
      <c r="K131" s="161"/>
      <c r="L131" s="161"/>
    </row>
    <row r="132" spans="2:12" ht="22.15" customHeight="1" x14ac:dyDescent="0.45">
      <c r="B132" s="161"/>
      <c r="C132" s="161"/>
      <c r="D132" s="161"/>
      <c r="E132" s="161"/>
      <c r="F132" s="161"/>
      <c r="G132" s="161"/>
      <c r="H132" s="161"/>
      <c r="I132" s="161"/>
      <c r="J132" s="161"/>
      <c r="K132" s="161"/>
      <c r="L132" s="161"/>
    </row>
    <row r="133" spans="2:12" ht="36" customHeight="1" x14ac:dyDescent="0.45">
      <c r="B133" s="238" t="s">
        <v>518</v>
      </c>
      <c r="C133" s="208"/>
      <c r="D133" s="185"/>
      <c r="E133" s="208"/>
      <c r="F133" s="208"/>
      <c r="G133" s="208"/>
      <c r="H133" s="185"/>
      <c r="I133" s="161"/>
      <c r="J133" s="161"/>
      <c r="K133" s="161"/>
      <c r="L133" s="161"/>
    </row>
    <row r="134" spans="2:12" ht="54" customHeight="1" x14ac:dyDescent="0.45">
      <c r="B134" s="19" t="s">
        <v>188</v>
      </c>
      <c r="C134" s="210" t="s">
        <v>519</v>
      </c>
      <c r="D134" s="185"/>
      <c r="E134" s="208"/>
      <c r="F134" s="208"/>
      <c r="G134" s="208"/>
      <c r="H134" s="185"/>
      <c r="I134" s="161"/>
      <c r="J134" s="161"/>
      <c r="K134" s="161"/>
      <c r="L134" s="161"/>
    </row>
    <row r="135" spans="2:12" ht="54" customHeight="1" x14ac:dyDescent="0.45">
      <c r="B135" s="19" t="s">
        <v>190</v>
      </c>
      <c r="C135" s="210" t="s">
        <v>520</v>
      </c>
      <c r="D135" s="185"/>
      <c r="E135" s="208"/>
      <c r="F135" s="208"/>
      <c r="G135" s="208"/>
      <c r="H135" s="185"/>
      <c r="I135" s="161"/>
      <c r="J135" s="161"/>
      <c r="K135" s="161"/>
      <c r="L135" s="161"/>
    </row>
    <row r="136" spans="2:12" ht="54" customHeight="1" x14ac:dyDescent="0.45">
      <c r="B136" s="20" t="s">
        <v>192</v>
      </c>
      <c r="C136" s="209" t="s">
        <v>521</v>
      </c>
      <c r="D136" s="185"/>
      <c r="E136" s="208"/>
      <c r="F136" s="208"/>
      <c r="G136" s="208"/>
      <c r="H136" s="185"/>
      <c r="I136" s="161"/>
      <c r="J136" s="161"/>
      <c r="K136" s="161"/>
      <c r="L136" s="161"/>
    </row>
    <row r="137" spans="2:12" ht="30" customHeight="1" x14ac:dyDescent="0.45">
      <c r="B137" s="2" t="s">
        <v>6</v>
      </c>
      <c r="C137" s="160" t="s">
        <v>150</v>
      </c>
      <c r="D137" s="160" t="s">
        <v>151</v>
      </c>
      <c r="E137" s="160" t="s">
        <v>152</v>
      </c>
      <c r="F137" s="160" t="s">
        <v>153</v>
      </c>
      <c r="G137" s="160" t="s">
        <v>154</v>
      </c>
      <c r="H137" s="2" t="s">
        <v>155</v>
      </c>
      <c r="I137" s="161"/>
      <c r="J137" s="161"/>
      <c r="K137" s="161"/>
      <c r="L137" s="161"/>
    </row>
    <row r="138" spans="2:12" ht="28.15" customHeight="1" x14ac:dyDescent="0.45">
      <c r="B138" s="170">
        <v>57</v>
      </c>
      <c r="C138" s="24" t="s">
        <v>522</v>
      </c>
      <c r="D138" s="171" t="s">
        <v>523</v>
      </c>
      <c r="E138" s="25" t="s">
        <v>524</v>
      </c>
      <c r="F138" s="25" t="s">
        <v>525</v>
      </c>
      <c r="G138" s="172" t="s">
        <v>526</v>
      </c>
      <c r="H138" s="173"/>
      <c r="I138" s="161"/>
      <c r="J138" s="161"/>
      <c r="K138" s="161"/>
      <c r="L138" s="161"/>
    </row>
    <row r="139" spans="2:12" ht="28.15" customHeight="1" x14ac:dyDescent="0.45">
      <c r="B139" s="174">
        <v>58</v>
      </c>
      <c r="C139" s="26" t="s">
        <v>527</v>
      </c>
      <c r="D139" s="175" t="s">
        <v>528</v>
      </c>
      <c r="E139" s="27" t="s">
        <v>529</v>
      </c>
      <c r="F139" s="27" t="s">
        <v>232</v>
      </c>
      <c r="G139" s="176" t="s">
        <v>530</v>
      </c>
      <c r="H139" s="177"/>
      <c r="I139" s="161"/>
      <c r="J139" s="161"/>
      <c r="K139" s="161"/>
      <c r="L139" s="161"/>
    </row>
    <row r="140" spans="2:12" ht="28.15" customHeight="1" x14ac:dyDescent="0.45">
      <c r="B140" s="170">
        <v>59</v>
      </c>
      <c r="C140" s="24" t="s">
        <v>531</v>
      </c>
      <c r="D140" s="171" t="s">
        <v>532</v>
      </c>
      <c r="E140" s="25" t="s">
        <v>533</v>
      </c>
      <c r="F140" s="25" t="s">
        <v>232</v>
      </c>
      <c r="G140" s="172" t="s">
        <v>534</v>
      </c>
      <c r="H140" s="173"/>
      <c r="I140" s="161"/>
      <c r="J140" s="161"/>
      <c r="K140" s="161"/>
      <c r="L140" s="161"/>
    </row>
    <row r="141" spans="2:12" ht="28.15" customHeight="1" x14ac:dyDescent="0.45">
      <c r="B141" s="174">
        <v>60</v>
      </c>
      <c r="C141" s="26" t="s">
        <v>535</v>
      </c>
      <c r="D141" s="175" t="s">
        <v>536</v>
      </c>
      <c r="E141" s="27" t="s">
        <v>537</v>
      </c>
      <c r="F141" s="27" t="s">
        <v>232</v>
      </c>
      <c r="G141" s="176" t="s">
        <v>538</v>
      </c>
      <c r="H141" s="177"/>
      <c r="I141" s="161"/>
      <c r="J141" s="161"/>
      <c r="K141" s="161"/>
      <c r="L141" s="161"/>
    </row>
    <row r="142" spans="2:12" ht="22.15" customHeight="1" x14ac:dyDescent="0.45">
      <c r="B142" s="161"/>
      <c r="C142" s="161"/>
      <c r="D142" s="161"/>
      <c r="E142" s="161"/>
      <c r="F142" s="161"/>
      <c r="G142" s="161"/>
      <c r="H142" s="161"/>
      <c r="I142" s="161"/>
      <c r="J142" s="161"/>
      <c r="K142" s="161"/>
      <c r="L142" s="161"/>
    </row>
    <row r="143" spans="2:12" ht="36" customHeight="1" x14ac:dyDescent="0.45">
      <c r="B143" s="240" t="s">
        <v>539</v>
      </c>
      <c r="C143" s="208"/>
      <c r="D143" s="185"/>
      <c r="E143" s="208"/>
      <c r="F143" s="208"/>
      <c r="G143" s="208"/>
      <c r="H143" s="185"/>
      <c r="I143" s="161"/>
      <c r="J143" s="161"/>
      <c r="K143" s="161"/>
      <c r="L143" s="161"/>
    </row>
    <row r="144" spans="2:12" ht="30" customHeight="1" x14ac:dyDescent="0.45">
      <c r="B144" s="23" t="s">
        <v>540</v>
      </c>
      <c r="C144" s="191" t="s">
        <v>541</v>
      </c>
      <c r="D144" s="185"/>
      <c r="E144" s="208"/>
      <c r="F144" s="208"/>
      <c r="G144" s="208"/>
      <c r="H144" s="185"/>
      <c r="I144" s="161"/>
      <c r="J144" s="161"/>
      <c r="K144" s="161"/>
      <c r="L144" s="161"/>
    </row>
    <row r="145" spans="2:12" ht="30" customHeight="1" x14ac:dyDescent="0.45">
      <c r="B145" s="23" t="s">
        <v>540</v>
      </c>
      <c r="C145" s="191" t="s">
        <v>542</v>
      </c>
      <c r="D145" s="185"/>
      <c r="E145" s="208"/>
      <c r="F145" s="208"/>
      <c r="G145" s="208"/>
      <c r="H145" s="185"/>
      <c r="I145" s="161"/>
      <c r="J145" s="161"/>
      <c r="K145" s="161"/>
      <c r="L145" s="161"/>
    </row>
    <row r="146" spans="2:12" ht="30" customHeight="1" x14ac:dyDescent="0.45">
      <c r="B146" s="23" t="s">
        <v>540</v>
      </c>
      <c r="C146" s="191" t="s">
        <v>543</v>
      </c>
      <c r="D146" s="185"/>
      <c r="E146" s="208"/>
      <c r="F146" s="208"/>
      <c r="G146" s="208"/>
      <c r="H146" s="185"/>
      <c r="I146" s="161"/>
      <c r="J146" s="161"/>
      <c r="K146" s="161"/>
      <c r="L146" s="161"/>
    </row>
    <row r="147" spans="2:12" ht="30" customHeight="1" x14ac:dyDescent="0.45">
      <c r="B147" s="23" t="s">
        <v>540</v>
      </c>
      <c r="C147" s="191" t="s">
        <v>544</v>
      </c>
      <c r="D147" s="185"/>
      <c r="E147" s="208"/>
      <c r="F147" s="208"/>
      <c r="G147" s="208"/>
      <c r="H147" s="185"/>
      <c r="I147" s="161"/>
      <c r="J147" s="161"/>
      <c r="K147" s="161"/>
      <c r="L147" s="161"/>
    </row>
    <row r="148" spans="2:12" ht="30" customHeight="1" x14ac:dyDescent="0.45">
      <c r="B148" s="23" t="s">
        <v>540</v>
      </c>
      <c r="C148" s="191" t="s">
        <v>545</v>
      </c>
      <c r="D148" s="185"/>
      <c r="E148" s="208"/>
      <c r="F148" s="208"/>
      <c r="G148" s="208"/>
      <c r="H148" s="185"/>
      <c r="I148" s="161"/>
      <c r="J148" s="161"/>
      <c r="K148" s="161"/>
      <c r="L148" s="161"/>
    </row>
    <row r="149" spans="2:12" ht="30" customHeight="1" x14ac:dyDescent="0.45">
      <c r="B149" s="23" t="s">
        <v>540</v>
      </c>
      <c r="C149" s="191" t="s">
        <v>546</v>
      </c>
      <c r="D149" s="185"/>
      <c r="E149" s="208"/>
      <c r="F149" s="208"/>
      <c r="G149" s="208"/>
      <c r="H149" s="185"/>
      <c r="I149" s="161"/>
      <c r="J149" s="161"/>
      <c r="K149" s="161"/>
      <c r="L149" s="161"/>
    </row>
    <row r="150" spans="2:12" ht="30" customHeight="1" x14ac:dyDescent="0.45">
      <c r="B150" s="23" t="s">
        <v>540</v>
      </c>
      <c r="C150" s="191" t="s">
        <v>547</v>
      </c>
      <c r="D150" s="185"/>
      <c r="E150" s="208"/>
      <c r="F150" s="208"/>
      <c r="G150" s="208"/>
      <c r="H150" s="185"/>
      <c r="I150" s="161"/>
      <c r="J150" s="161"/>
      <c r="K150" s="161"/>
      <c r="L150" s="161"/>
    </row>
    <row r="151" spans="2:12" ht="30" customHeight="1" x14ac:dyDescent="0.45">
      <c r="B151" s="23" t="s">
        <v>540</v>
      </c>
      <c r="C151" s="191" t="s">
        <v>548</v>
      </c>
      <c r="D151" s="185"/>
      <c r="E151" s="208"/>
      <c r="F151" s="208"/>
      <c r="G151" s="208"/>
      <c r="H151" s="185"/>
      <c r="I151" s="161"/>
      <c r="J151" s="161"/>
      <c r="K151" s="161"/>
      <c r="L151" s="161"/>
    </row>
  </sheetData>
  <mergeCells count="72">
    <mergeCell ref="B133:H133"/>
    <mergeCell ref="B11:C11"/>
    <mergeCell ref="D11:H11"/>
    <mergeCell ref="C25:H25"/>
    <mergeCell ref="B143:H143"/>
    <mergeCell ref="B118:H118"/>
    <mergeCell ref="C84:H84"/>
    <mergeCell ref="C109:H109"/>
    <mergeCell ref="C63:H63"/>
    <mergeCell ref="C85:H85"/>
    <mergeCell ref="C134:H134"/>
    <mergeCell ref="C121:H121"/>
    <mergeCell ref="B107:H107"/>
    <mergeCell ref="C108:H108"/>
    <mergeCell ref="C148:H148"/>
    <mergeCell ref="B12:C12"/>
    <mergeCell ref="E22:H22"/>
    <mergeCell ref="C95:H95"/>
    <mergeCell ref="B94:H94"/>
    <mergeCell ref="E18:H18"/>
    <mergeCell ref="C36:H36"/>
    <mergeCell ref="C120:H120"/>
    <mergeCell ref="C110:H110"/>
    <mergeCell ref="D13:H13"/>
    <mergeCell ref="B14:C14"/>
    <mergeCell ref="C146:H146"/>
    <mergeCell ref="B83:H83"/>
    <mergeCell ref="C50:H50"/>
    <mergeCell ref="B3:H3"/>
    <mergeCell ref="B7:H7"/>
    <mergeCell ref="C72:H72"/>
    <mergeCell ref="C26:H26"/>
    <mergeCell ref="B13:C13"/>
    <mergeCell ref="E17:H17"/>
    <mergeCell ref="B47:H47"/>
    <mergeCell ref="B16:H16"/>
    <mergeCell ref="E21:H21"/>
    <mergeCell ref="C48:H48"/>
    <mergeCell ref="B9:H9"/>
    <mergeCell ref="D10:H10"/>
    <mergeCell ref="J2:L2"/>
    <mergeCell ref="B71:H71"/>
    <mergeCell ref="C37:H37"/>
    <mergeCell ref="B10:C10"/>
    <mergeCell ref="E20:H20"/>
    <mergeCell ref="B2:H2"/>
    <mergeCell ref="C49:H49"/>
    <mergeCell ref="E19:H19"/>
    <mergeCell ref="B23:H23"/>
    <mergeCell ref="D12:H12"/>
    <mergeCell ref="C62:H62"/>
    <mergeCell ref="C24:H24"/>
    <mergeCell ref="B61:H61"/>
    <mergeCell ref="D14:H14"/>
    <mergeCell ref="B34:H34"/>
    <mergeCell ref="J3:L3"/>
    <mergeCell ref="C151:H151"/>
    <mergeCell ref="C74:H74"/>
    <mergeCell ref="C97:H97"/>
    <mergeCell ref="C73:H73"/>
    <mergeCell ref="C35:H35"/>
    <mergeCell ref="C64:H64"/>
    <mergeCell ref="C147:H147"/>
    <mergeCell ref="C150:H150"/>
    <mergeCell ref="C119:H119"/>
    <mergeCell ref="C144:H144"/>
    <mergeCell ref="C135:H135"/>
    <mergeCell ref="C149:H149"/>
    <mergeCell ref="C136:H136"/>
    <mergeCell ref="C96:H96"/>
    <mergeCell ref="C145:H145"/>
    <mergeCell ref="C86:H8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2:R59"/>
  <sheetViews>
    <sheetView showGridLines="0" zoomScale="85" zoomScaleNormal="85" workbookViewId="0">
      <pane xSplit="1" ySplit="5" topLeftCell="B22" activePane="bottomRight" state="frozen"/>
      <selection pane="topRight"/>
      <selection pane="bottomLeft"/>
      <selection pane="bottomRight" activeCell="F22" sqref="F22"/>
    </sheetView>
  </sheetViews>
  <sheetFormatPr defaultRowHeight="14.25" x14ac:dyDescent="0.45"/>
  <cols>
    <col min="1" max="1" width="2" customWidth="1"/>
    <col min="2" max="2" width="51" customWidth="1"/>
    <col min="3" max="3" width="18" customWidth="1"/>
    <col min="4" max="4" width="7.59765625" customWidth="1"/>
    <col min="5" max="5" width="2.86328125" customWidth="1"/>
    <col min="6" max="6" width="36" customWidth="1"/>
    <col min="7" max="7" width="18" customWidth="1"/>
    <col min="8" max="8" width="12" customWidth="1"/>
    <col min="9" max="17" width="11" customWidth="1"/>
    <col min="18" max="18" width="13" customWidth="1"/>
  </cols>
  <sheetData>
    <row r="2" spans="2:18" ht="42" customHeight="1" x14ac:dyDescent="0.45">
      <c r="B2" s="184" t="s">
        <v>549</v>
      </c>
      <c r="C2" s="185"/>
      <c r="D2" s="185"/>
      <c r="E2" s="185"/>
      <c r="F2" s="185"/>
      <c r="G2" s="185"/>
      <c r="H2" s="185"/>
      <c r="I2" s="185"/>
      <c r="J2" s="185"/>
      <c r="K2" s="185"/>
      <c r="L2" s="185"/>
      <c r="M2" s="185"/>
      <c r="N2" s="185"/>
      <c r="O2" s="185"/>
      <c r="P2" s="185"/>
      <c r="Q2" s="185"/>
      <c r="R2" s="185"/>
    </row>
    <row r="3" spans="2:18" ht="15.75" customHeight="1" x14ac:dyDescent="0.5">
      <c r="B3" s="34" t="s">
        <v>550</v>
      </c>
      <c r="C3" s="3"/>
      <c r="D3" s="3"/>
      <c r="E3" s="3"/>
      <c r="F3" s="3"/>
      <c r="G3" s="3"/>
      <c r="H3" s="3"/>
      <c r="I3" s="3"/>
      <c r="J3" s="3"/>
      <c r="K3" s="3"/>
      <c r="L3" s="3"/>
      <c r="M3" s="3"/>
      <c r="N3" s="3"/>
      <c r="O3" s="3"/>
      <c r="P3" s="3"/>
      <c r="Q3" s="3"/>
      <c r="R3" s="3"/>
    </row>
    <row r="4" spans="2:18" ht="15.75" customHeight="1" x14ac:dyDescent="0.5">
      <c r="B4" s="3"/>
      <c r="C4" s="3"/>
      <c r="D4" s="3"/>
      <c r="E4" s="3"/>
      <c r="F4" s="3"/>
      <c r="G4" s="3"/>
      <c r="H4" s="3"/>
      <c r="I4" s="3"/>
      <c r="J4" s="3"/>
      <c r="K4" s="3"/>
      <c r="L4" s="3"/>
      <c r="M4" s="3"/>
      <c r="N4" s="3"/>
      <c r="O4" s="3"/>
      <c r="P4" s="3"/>
      <c r="Q4" s="3"/>
      <c r="R4" s="3"/>
    </row>
    <row r="5" spans="2:18" ht="15.75" customHeight="1" x14ac:dyDescent="0.5">
      <c r="B5" s="187" t="s">
        <v>551</v>
      </c>
      <c r="C5" s="185"/>
      <c r="D5" s="3"/>
      <c r="E5" s="3"/>
      <c r="F5" s="187" t="s">
        <v>552</v>
      </c>
      <c r="G5" s="185"/>
      <c r="H5" s="3"/>
      <c r="I5" s="3"/>
      <c r="J5" s="3"/>
      <c r="K5" s="3"/>
      <c r="L5" s="3"/>
      <c r="M5" s="3"/>
      <c r="N5" s="3"/>
      <c r="O5" s="3"/>
      <c r="P5" s="3"/>
      <c r="Q5" s="3"/>
      <c r="R5" s="3"/>
    </row>
    <row r="6" spans="2:18" ht="15.75" customHeight="1" x14ac:dyDescent="0.5">
      <c r="B6" s="36" t="s">
        <v>197</v>
      </c>
      <c r="C6" s="133" t="str">
        <f>'⚙️ Assumptions'!C8</f>
        <v>Amazon.com, Inc.</v>
      </c>
      <c r="D6" s="3"/>
      <c r="E6" s="3"/>
      <c r="F6" s="36" t="s">
        <v>553</v>
      </c>
      <c r="G6" s="83">
        <f>'⚙️ Assumptions'!C66</f>
        <v>9.7666599999999992E-2</v>
      </c>
      <c r="H6" s="3"/>
      <c r="I6" s="3"/>
      <c r="J6" s="3"/>
      <c r="K6" s="3"/>
      <c r="L6" s="3"/>
      <c r="M6" s="3"/>
      <c r="N6" s="3"/>
      <c r="O6" s="3"/>
      <c r="P6" s="3"/>
      <c r="Q6" s="3"/>
      <c r="R6" s="3"/>
    </row>
    <row r="7" spans="2:18" ht="15.75" customHeight="1" x14ac:dyDescent="0.5">
      <c r="B7" s="36" t="s">
        <v>205</v>
      </c>
      <c r="C7" s="133" t="str">
        <f>'⚙️ Assumptions'!C9</f>
        <v>AMZN US</v>
      </c>
      <c r="D7" s="3"/>
      <c r="E7" s="3"/>
      <c r="F7" s="36" t="s">
        <v>554</v>
      </c>
      <c r="G7" s="83">
        <f>'⚙️ Assumptions'!D66</f>
        <v>0.11240399999999999</v>
      </c>
      <c r="H7" s="3"/>
      <c r="I7" s="3"/>
      <c r="J7" s="3"/>
      <c r="K7" s="3"/>
      <c r="L7" s="3"/>
      <c r="M7" s="3"/>
      <c r="N7" s="3"/>
      <c r="O7" s="3"/>
      <c r="P7" s="3"/>
      <c r="Q7" s="3"/>
      <c r="R7" s="3"/>
    </row>
    <row r="8" spans="2:18" ht="15.75" customHeight="1" x14ac:dyDescent="0.5">
      <c r="B8" s="36" t="s">
        <v>555</v>
      </c>
      <c r="C8" s="133" t="str">
        <f>'⚙️ Assumptions'!C10</f>
        <v>Internet Retail &amp; Cloud Computing</v>
      </c>
      <c r="D8" s="3"/>
      <c r="E8" s="3"/>
      <c r="F8" s="36" t="s">
        <v>556</v>
      </c>
      <c r="G8" s="83">
        <f>'⚙️ Assumptions'!E66</f>
        <v>8.9444399999999993E-2</v>
      </c>
      <c r="H8" s="3"/>
      <c r="I8" s="3"/>
      <c r="J8" s="3"/>
      <c r="K8" s="3"/>
      <c r="L8" s="3"/>
      <c r="M8" s="3"/>
      <c r="N8" s="3"/>
      <c r="O8" s="3"/>
      <c r="P8" s="3"/>
      <c r="Q8" s="3"/>
      <c r="R8" s="3"/>
    </row>
    <row r="9" spans="2:18" ht="15.75" customHeight="1" x14ac:dyDescent="0.5">
      <c r="B9" s="36" t="s">
        <v>557</v>
      </c>
      <c r="C9" s="133" t="str">
        <f>'⚙️ Assumptions'!C11</f>
        <v>USD</v>
      </c>
      <c r="D9" s="3"/>
      <c r="E9" s="3"/>
      <c r="F9" s="36" t="s">
        <v>558</v>
      </c>
      <c r="G9" s="83">
        <f>'⚙️ Assumptions'!C69</f>
        <v>0.03</v>
      </c>
      <c r="H9" s="3"/>
      <c r="I9" s="3"/>
      <c r="J9" s="3"/>
      <c r="K9" s="3"/>
      <c r="L9" s="3"/>
      <c r="M9" s="3"/>
      <c r="N9" s="3"/>
      <c r="O9" s="3"/>
      <c r="P9" s="3"/>
      <c r="Q9" s="3"/>
      <c r="R9" s="3"/>
    </row>
    <row r="10" spans="2:18" ht="15.75" customHeight="1" x14ac:dyDescent="0.5">
      <c r="B10" s="36" t="s">
        <v>229</v>
      </c>
      <c r="C10" s="134">
        <f>'⚙️ Assumptions'!C12</f>
        <v>46204</v>
      </c>
      <c r="D10" s="3"/>
      <c r="E10" s="3"/>
      <c r="F10" s="36" t="s">
        <v>410</v>
      </c>
      <c r="G10" s="83">
        <f>'⚙️ Assumptions'!C56</f>
        <v>4.4499999999999998E-2</v>
      </c>
      <c r="H10" s="3"/>
      <c r="I10" s="3"/>
      <c r="J10" s="3"/>
      <c r="K10" s="3"/>
      <c r="L10" s="3"/>
      <c r="M10" s="3"/>
      <c r="N10" s="3"/>
      <c r="O10" s="3"/>
      <c r="P10" s="3"/>
      <c r="Q10" s="3"/>
      <c r="R10" s="3"/>
    </row>
    <row r="11" spans="2:18" ht="15.75" customHeight="1" x14ac:dyDescent="0.5">
      <c r="B11" s="36" t="s">
        <v>559</v>
      </c>
      <c r="C11" s="133" t="str">
        <f>'⚙️ Assumptions'!C13</f>
        <v>Ian Teh</v>
      </c>
      <c r="D11" s="3"/>
      <c r="E11" s="3"/>
      <c r="F11" s="36" t="s">
        <v>560</v>
      </c>
      <c r="G11" s="97">
        <f>'⚙️ Assumptions'!C22</f>
        <v>10953</v>
      </c>
      <c r="H11" s="3"/>
      <c r="I11" s="3"/>
      <c r="J11" s="3"/>
      <c r="K11" s="3"/>
      <c r="L11" s="3"/>
      <c r="M11" s="3"/>
      <c r="N11" s="3"/>
      <c r="O11" s="3"/>
      <c r="P11" s="3"/>
      <c r="Q11" s="3"/>
      <c r="R11" s="3"/>
    </row>
    <row r="12" spans="2:18" ht="15.75" customHeight="1" x14ac:dyDescent="0.5">
      <c r="B12" s="3"/>
      <c r="C12" s="3"/>
      <c r="D12" s="3"/>
      <c r="E12" s="3"/>
      <c r="F12" s="3"/>
      <c r="G12" s="3"/>
      <c r="H12" s="3"/>
      <c r="I12" s="3"/>
      <c r="J12" s="3"/>
      <c r="K12" s="3"/>
      <c r="L12" s="3"/>
      <c r="M12" s="3"/>
      <c r="N12" s="3"/>
      <c r="O12" s="3"/>
      <c r="P12" s="3"/>
      <c r="Q12" s="3"/>
      <c r="R12" s="3"/>
    </row>
    <row r="13" spans="2:18" ht="15.75" customHeight="1" x14ac:dyDescent="0.5">
      <c r="B13" s="187" t="s">
        <v>561</v>
      </c>
      <c r="C13" s="185"/>
      <c r="D13" s="3"/>
      <c r="E13" s="3"/>
      <c r="F13" s="36" t="s">
        <v>562</v>
      </c>
      <c r="G13" s="97">
        <f>'🔢 DCF Engine'!C59</f>
        <v>2066527.2598430207</v>
      </c>
      <c r="H13" s="3"/>
      <c r="I13" s="3"/>
      <c r="J13" s="3"/>
      <c r="K13" s="3"/>
      <c r="L13" s="3"/>
      <c r="M13" s="3"/>
      <c r="N13" s="3"/>
      <c r="O13" s="3"/>
      <c r="P13" s="3"/>
      <c r="Q13" s="3"/>
      <c r="R13" s="3"/>
    </row>
    <row r="14" spans="2:18" ht="15.75" customHeight="1" x14ac:dyDescent="0.5">
      <c r="B14" s="36" t="s">
        <v>563</v>
      </c>
      <c r="C14" s="135" t="str">
        <f>'🔢 DCF Engine'!C4</f>
        <v>Base</v>
      </c>
      <c r="D14" s="3"/>
      <c r="E14" s="3"/>
      <c r="F14" s="36" t="s">
        <v>564</v>
      </c>
      <c r="G14" s="97">
        <f>'🔢 DCF Engine'!C69</f>
        <v>2012922.2598430207</v>
      </c>
      <c r="H14" s="3"/>
      <c r="I14" s="3"/>
      <c r="J14" s="3"/>
      <c r="K14" s="3"/>
      <c r="L14" s="3"/>
      <c r="M14" s="3"/>
      <c r="N14" s="3"/>
      <c r="O14" s="3"/>
      <c r="P14" s="3"/>
      <c r="Q14" s="3"/>
      <c r="R14" s="3"/>
    </row>
    <row r="15" spans="2:18" ht="15.75" customHeight="1" x14ac:dyDescent="0.5">
      <c r="B15" s="36" t="s">
        <v>565</v>
      </c>
      <c r="C15" s="112">
        <f>'⚙️ Assumptions'!C16</f>
        <v>241.75</v>
      </c>
      <c r="D15" s="3"/>
      <c r="E15" s="3"/>
      <c r="F15" s="36" t="s">
        <v>566</v>
      </c>
      <c r="G15" s="112">
        <f>'🔢 DCF Engine'!C71</f>
        <v>183.77816669798418</v>
      </c>
      <c r="H15" s="3"/>
      <c r="I15" s="3"/>
      <c r="J15" s="3"/>
      <c r="K15" s="3"/>
      <c r="L15" s="3"/>
      <c r="M15" s="3"/>
      <c r="N15" s="3"/>
      <c r="O15" s="3"/>
      <c r="P15" s="3"/>
      <c r="Q15" s="3"/>
      <c r="R15" s="3"/>
    </row>
    <row r="16" spans="2:18" ht="15.75" customHeight="1" x14ac:dyDescent="0.5">
      <c r="B16" s="3"/>
      <c r="C16" s="3"/>
      <c r="D16" s="3"/>
      <c r="E16" s="3"/>
      <c r="F16" s="36" t="s">
        <v>567</v>
      </c>
      <c r="G16" s="110">
        <f>'🔢 DCF Engine'!C74</f>
        <v>11.760470801994868</v>
      </c>
      <c r="H16" s="3"/>
      <c r="I16" s="3"/>
      <c r="J16" s="3"/>
      <c r="K16" s="3"/>
      <c r="L16" s="3"/>
      <c r="M16" s="3"/>
      <c r="N16" s="3"/>
      <c r="O16" s="3"/>
      <c r="P16" s="3"/>
      <c r="Q16" s="3"/>
      <c r="R16" s="3"/>
    </row>
    <row r="17" spans="2:18" ht="15.75" customHeight="1" x14ac:dyDescent="0.5">
      <c r="B17" s="38" t="s">
        <v>568</v>
      </c>
      <c r="C17" s="136">
        <f>C56</f>
        <v>183.77816669798423</v>
      </c>
      <c r="D17" s="3"/>
      <c r="E17" s="3"/>
      <c r="F17" s="36" t="s">
        <v>569</v>
      </c>
      <c r="G17" s="84">
        <f>'🔢 DCF Engine'!C54</f>
        <v>0.72674473129985395</v>
      </c>
      <c r="H17" s="3"/>
      <c r="I17" s="3"/>
      <c r="J17" s="3"/>
      <c r="K17" s="3"/>
      <c r="L17" s="3"/>
      <c r="M17" s="3"/>
      <c r="N17" s="3"/>
      <c r="O17" s="3"/>
      <c r="P17" s="3"/>
      <c r="Q17" s="3"/>
      <c r="R17" s="3"/>
    </row>
    <row r="18" spans="2:18" ht="15.75" customHeight="1" x14ac:dyDescent="0.5">
      <c r="B18" s="38" t="s">
        <v>570</v>
      </c>
      <c r="C18" s="136">
        <f>C57</f>
        <v>47.406977158339579</v>
      </c>
      <c r="D18" s="3"/>
      <c r="E18" s="3"/>
      <c r="F18" s="3"/>
      <c r="G18" s="3"/>
      <c r="H18" s="3"/>
      <c r="I18" s="3"/>
      <c r="J18" s="3"/>
      <c r="K18" s="3"/>
      <c r="L18" s="3"/>
      <c r="M18" s="3"/>
      <c r="N18" s="3"/>
      <c r="O18" s="3"/>
      <c r="P18" s="3"/>
      <c r="Q18" s="3"/>
      <c r="R18" s="3"/>
    </row>
    <row r="19" spans="2:18" ht="15.75" customHeight="1" x14ac:dyDescent="0.5">
      <c r="B19" s="38" t="s">
        <v>571</v>
      </c>
      <c r="C19" s="136">
        <f>C58</f>
        <v>374.88474315588223</v>
      </c>
      <c r="D19" s="3"/>
      <c r="E19" s="3"/>
      <c r="F19" s="187" t="s">
        <v>572</v>
      </c>
      <c r="G19" s="185"/>
      <c r="H19" s="3"/>
      <c r="I19" s="3"/>
      <c r="J19" s="3"/>
      <c r="K19" s="3"/>
      <c r="L19" s="3"/>
      <c r="M19" s="3"/>
      <c r="N19" s="3"/>
      <c r="O19" s="3"/>
      <c r="P19" s="3"/>
      <c r="Q19" s="3"/>
      <c r="R19" s="3"/>
    </row>
    <row r="20" spans="2:18" ht="15.75" customHeight="1" x14ac:dyDescent="0.5">
      <c r="B20" s="3"/>
      <c r="C20" s="3"/>
      <c r="D20" s="3"/>
      <c r="E20" s="3"/>
      <c r="F20" s="36" t="s">
        <v>573</v>
      </c>
      <c r="G20" s="83">
        <f>'📋 WACC Builder'!C48</f>
        <v>0</v>
      </c>
      <c r="H20" s="3"/>
      <c r="I20" s="3"/>
      <c r="J20" s="3"/>
      <c r="K20" s="3"/>
      <c r="L20" s="3"/>
      <c r="M20" s="3"/>
      <c r="N20" s="3"/>
      <c r="O20" s="3"/>
      <c r="P20" s="3"/>
      <c r="Q20" s="3"/>
      <c r="R20" s="3"/>
    </row>
    <row r="21" spans="2:18" ht="15.75" customHeight="1" x14ac:dyDescent="0.5">
      <c r="B21" s="38" t="s">
        <v>574</v>
      </c>
      <c r="C21" s="111">
        <f>C17*'⚙️ Assumptions'!C88+C18*'⚙️ Assumptions'!D88+C19*'⚙️ Assumptions'!E88</f>
        <v>204.28057290452983</v>
      </c>
      <c r="D21" s="3"/>
      <c r="E21" s="3"/>
      <c r="F21" s="36" t="s">
        <v>575</v>
      </c>
      <c r="G21" s="137" t="str">
        <f>'🔢 DCF Engine'!C84</f>
        <v>OK</v>
      </c>
      <c r="H21" s="3"/>
      <c r="I21" s="3"/>
      <c r="J21" s="3"/>
      <c r="K21" s="3"/>
      <c r="L21" s="3"/>
      <c r="M21" s="3"/>
      <c r="N21" s="3"/>
      <c r="O21" s="3"/>
      <c r="P21" s="3"/>
      <c r="Q21" s="3"/>
      <c r="R21" s="3"/>
    </row>
    <row r="22" spans="2:18" ht="15.75" customHeight="1" x14ac:dyDescent="0.5">
      <c r="B22" s="38" t="s">
        <v>576</v>
      </c>
      <c r="C22" s="40">
        <f>IFERROR(C21/C15-1,0)</f>
        <v>-0.15499245954692931</v>
      </c>
      <c r="D22" s="3"/>
      <c r="E22" s="3"/>
      <c r="F22" s="36" t="s">
        <v>577</v>
      </c>
      <c r="G22" s="84">
        <f>'⚙️ Assumptions'!C89</f>
        <v>1</v>
      </c>
      <c r="H22" s="3"/>
      <c r="I22" s="3"/>
      <c r="J22" s="3"/>
      <c r="K22" s="3"/>
      <c r="L22" s="3"/>
      <c r="M22" s="3"/>
      <c r="N22" s="3"/>
      <c r="O22" s="3"/>
      <c r="P22" s="3"/>
      <c r="Q22" s="3"/>
      <c r="R22" s="3"/>
    </row>
    <row r="23" spans="2:18" ht="15.75" customHeight="1" x14ac:dyDescent="0.5">
      <c r="B23" s="3"/>
      <c r="C23" s="3"/>
      <c r="D23" s="3"/>
      <c r="E23" s="3"/>
      <c r="F23" s="36" t="s">
        <v>578</v>
      </c>
      <c r="G23" s="83">
        <f>'🔢 DCF Engine'!C80</f>
        <v>0.11150216121270753</v>
      </c>
      <c r="H23" s="3"/>
      <c r="I23" s="3"/>
      <c r="J23" s="3"/>
      <c r="K23" s="3"/>
      <c r="L23" s="3"/>
      <c r="M23" s="3"/>
      <c r="N23" s="3"/>
      <c r="O23" s="3"/>
      <c r="P23" s="3"/>
      <c r="Q23" s="3"/>
      <c r="R23" s="3"/>
    </row>
    <row r="24" spans="2:18" ht="15.75" customHeight="1" x14ac:dyDescent="0.5">
      <c r="B24" s="3"/>
      <c r="C24" s="3"/>
      <c r="D24" s="3"/>
      <c r="E24" s="3"/>
      <c r="F24" s="3"/>
      <c r="G24" s="3"/>
      <c r="H24" s="3"/>
      <c r="I24" s="3"/>
      <c r="J24" s="3"/>
      <c r="K24" s="3"/>
      <c r="L24" s="3"/>
      <c r="M24" s="3"/>
      <c r="N24" s="3"/>
      <c r="O24" s="3"/>
      <c r="P24" s="3"/>
      <c r="Q24" s="3"/>
      <c r="R24" s="3"/>
    </row>
    <row r="25" spans="2:18" ht="15.75" customHeight="1" x14ac:dyDescent="0.5">
      <c r="B25" s="187" t="s">
        <v>579</v>
      </c>
      <c r="C25" s="185"/>
      <c r="D25" s="185"/>
      <c r="E25" s="185"/>
      <c r="F25" s="185"/>
      <c r="G25" s="185"/>
      <c r="H25" s="3"/>
      <c r="I25" s="3"/>
      <c r="J25" s="3"/>
      <c r="K25" s="3"/>
      <c r="L25" s="3"/>
      <c r="M25" s="3"/>
      <c r="N25" s="3"/>
      <c r="O25" s="3"/>
      <c r="P25" s="3"/>
      <c r="Q25" s="3"/>
      <c r="R25" s="3"/>
    </row>
    <row r="26" spans="2:18" ht="15.75" customHeight="1" x14ac:dyDescent="0.5">
      <c r="B26" s="35" t="s">
        <v>580</v>
      </c>
      <c r="C26" s="35" t="s">
        <v>581</v>
      </c>
      <c r="D26" s="3"/>
      <c r="E26" s="3"/>
      <c r="F26" s="35" t="s">
        <v>582</v>
      </c>
      <c r="G26" s="35" t="s">
        <v>583</v>
      </c>
      <c r="H26" s="3"/>
      <c r="I26" s="3"/>
      <c r="J26" s="3"/>
      <c r="K26" s="3"/>
      <c r="L26" s="3"/>
      <c r="M26" s="3"/>
      <c r="N26" s="3"/>
      <c r="O26" s="3"/>
      <c r="P26" s="3"/>
      <c r="Q26" s="3"/>
      <c r="R26" s="3"/>
    </row>
    <row r="27" spans="2:18" ht="15.75" customHeight="1" x14ac:dyDescent="0.5">
      <c r="B27" s="99" t="s">
        <v>584</v>
      </c>
      <c r="C27" s="132">
        <f>C18*0.9</f>
        <v>42.666279442505619</v>
      </c>
      <c r="D27" s="3"/>
      <c r="E27" s="3"/>
      <c r="F27" s="132">
        <f>C18*1.1</f>
        <v>52.147674874173539</v>
      </c>
      <c r="G27" s="132">
        <f>AVERAGE(C27,F27)</f>
        <v>47.406977158339579</v>
      </c>
      <c r="H27" s="3"/>
      <c r="I27" s="3"/>
      <c r="J27" s="3"/>
      <c r="K27" s="3"/>
      <c r="L27" s="3"/>
      <c r="M27" s="3"/>
      <c r="N27" s="3"/>
      <c r="O27" s="3"/>
      <c r="P27" s="3"/>
      <c r="Q27" s="3"/>
      <c r="R27" s="3"/>
    </row>
    <row r="28" spans="2:18" ht="15.75" customHeight="1" x14ac:dyDescent="0.5">
      <c r="B28" s="95" t="s">
        <v>585</v>
      </c>
      <c r="C28" s="138">
        <f>C17*0.9</f>
        <v>165.40035002818581</v>
      </c>
      <c r="D28" s="3"/>
      <c r="E28" s="3"/>
      <c r="F28" s="138">
        <f>C17*1.1</f>
        <v>202.15598336778268</v>
      </c>
      <c r="G28" s="138">
        <f>AVERAGE(C28,F28)</f>
        <v>183.77816669798426</v>
      </c>
      <c r="H28" s="3"/>
      <c r="I28" s="3"/>
      <c r="J28" s="3"/>
      <c r="K28" s="3"/>
      <c r="L28" s="3"/>
      <c r="M28" s="3"/>
      <c r="N28" s="3"/>
      <c r="O28" s="3"/>
      <c r="P28" s="3"/>
      <c r="Q28" s="3"/>
      <c r="R28" s="3"/>
    </row>
    <row r="29" spans="2:18" ht="15.75" customHeight="1" x14ac:dyDescent="0.5">
      <c r="B29" s="99" t="s">
        <v>586</v>
      </c>
      <c r="C29" s="132">
        <f>C19*0.9</f>
        <v>337.396268840294</v>
      </c>
      <c r="D29" s="3"/>
      <c r="E29" s="3"/>
      <c r="F29" s="132">
        <f>C19*1.1</f>
        <v>412.37321747147047</v>
      </c>
      <c r="G29" s="132">
        <f>AVERAGE(C29,F29)</f>
        <v>374.88474315588223</v>
      </c>
      <c r="H29" s="3"/>
      <c r="I29" s="3"/>
      <c r="J29" s="3"/>
      <c r="K29" s="3"/>
      <c r="L29" s="3"/>
      <c r="M29" s="3"/>
      <c r="N29" s="3"/>
      <c r="O29" s="3"/>
      <c r="P29" s="3"/>
      <c r="Q29" s="3"/>
      <c r="R29" s="3"/>
    </row>
    <row r="30" spans="2:18" ht="15.75" customHeight="1" x14ac:dyDescent="0.5">
      <c r="B30" s="100" t="s">
        <v>587</v>
      </c>
      <c r="C30" s="112">
        <f>'⚙️ Assumptions'!C18</f>
        <v>196</v>
      </c>
      <c r="D30" s="3"/>
      <c r="E30" s="3"/>
      <c r="F30" s="112">
        <f>'⚙️ Assumptions'!C17</f>
        <v>278.56</v>
      </c>
      <c r="G30" s="132">
        <f>AVERAGE(C30,F30)</f>
        <v>237.28</v>
      </c>
      <c r="H30" s="3"/>
      <c r="I30" s="3"/>
      <c r="J30" s="3"/>
      <c r="K30" s="3"/>
      <c r="L30" s="3"/>
      <c r="M30" s="3"/>
      <c r="N30" s="3"/>
      <c r="O30" s="3"/>
      <c r="P30" s="3"/>
      <c r="Q30" s="3"/>
      <c r="R30" s="3"/>
    </row>
    <row r="31" spans="2:18" ht="15.75" customHeight="1" x14ac:dyDescent="0.5">
      <c r="B31" s="95" t="s">
        <v>588</v>
      </c>
      <c r="C31" s="138">
        <f>C21*0.85</f>
        <v>173.63848696885034</v>
      </c>
      <c r="D31" s="3"/>
      <c r="E31" s="3"/>
      <c r="F31" s="138">
        <f>C21*1.15</f>
        <v>234.92265884020929</v>
      </c>
      <c r="G31" s="138">
        <f>C21</f>
        <v>204.28057290452983</v>
      </c>
      <c r="H31" s="3"/>
      <c r="I31" s="3"/>
      <c r="J31" s="3"/>
      <c r="K31" s="3"/>
      <c r="L31" s="3"/>
      <c r="M31" s="3"/>
      <c r="N31" s="3"/>
      <c r="O31" s="3"/>
      <c r="P31" s="3"/>
      <c r="Q31" s="3"/>
      <c r="R31" s="3"/>
    </row>
    <row r="32" spans="2:18" ht="15.75" customHeight="1" x14ac:dyDescent="0.5">
      <c r="B32" s="3"/>
      <c r="C32" s="3"/>
      <c r="D32" s="3"/>
      <c r="E32" s="3"/>
      <c r="F32" s="3"/>
      <c r="G32" s="3"/>
      <c r="H32" s="3"/>
      <c r="I32" s="3"/>
      <c r="J32" s="3"/>
      <c r="K32" s="3"/>
      <c r="L32" s="3"/>
      <c r="M32" s="3"/>
      <c r="N32" s="3"/>
      <c r="O32" s="3"/>
      <c r="P32" s="3"/>
      <c r="Q32" s="3"/>
      <c r="R32" s="3"/>
    </row>
    <row r="33" spans="2:18" ht="15.75" customHeight="1" x14ac:dyDescent="0.5">
      <c r="B33" s="100" t="s">
        <v>589</v>
      </c>
      <c r="C33" s="3"/>
      <c r="D33" s="3"/>
      <c r="E33" s="3"/>
      <c r="F33" s="3"/>
      <c r="G33" s="112">
        <f>'⚙️ Assumptions'!C16</f>
        <v>241.75</v>
      </c>
      <c r="H33" s="3"/>
      <c r="I33" s="3"/>
      <c r="J33" s="3"/>
      <c r="K33" s="3"/>
      <c r="L33" s="3"/>
      <c r="M33" s="3"/>
      <c r="N33" s="3"/>
      <c r="O33" s="3"/>
      <c r="P33" s="3"/>
      <c r="Q33" s="3"/>
      <c r="R33" s="3"/>
    </row>
    <row r="34" spans="2:18" ht="15.75" customHeight="1" x14ac:dyDescent="0.5">
      <c r="B34" s="3"/>
      <c r="C34" s="3"/>
      <c r="D34" s="3"/>
      <c r="E34" s="3"/>
      <c r="F34" s="3"/>
      <c r="G34" s="3"/>
      <c r="H34" s="3"/>
      <c r="I34" s="3"/>
      <c r="J34" s="3"/>
      <c r="K34" s="3"/>
      <c r="L34" s="3"/>
      <c r="M34" s="3"/>
      <c r="N34" s="3"/>
      <c r="O34" s="3"/>
      <c r="P34" s="3"/>
      <c r="Q34" s="3"/>
      <c r="R34" s="3"/>
    </row>
    <row r="35" spans="2:18" ht="15.75" customHeight="1" x14ac:dyDescent="0.5">
      <c r="B35" s="3"/>
      <c r="C35" s="3"/>
      <c r="D35" s="3"/>
      <c r="E35" s="3"/>
      <c r="F35" s="3"/>
      <c r="G35" s="3"/>
      <c r="H35" s="3"/>
      <c r="I35" s="3"/>
      <c r="J35" s="3"/>
      <c r="K35" s="3"/>
      <c r="L35" s="3"/>
      <c r="M35" s="3"/>
      <c r="N35" s="3"/>
      <c r="O35" s="3"/>
      <c r="P35" s="3"/>
      <c r="Q35" s="3"/>
      <c r="R35" s="3"/>
    </row>
    <row r="36" spans="2:18" ht="15.75" customHeight="1" x14ac:dyDescent="0.5">
      <c r="B36" s="187" t="s">
        <v>590</v>
      </c>
      <c r="C36" s="185"/>
      <c r="D36" s="185"/>
      <c r="E36" s="185"/>
      <c r="F36" s="185"/>
      <c r="G36" s="185"/>
      <c r="H36" s="3"/>
      <c r="I36" s="3"/>
      <c r="J36" s="3"/>
      <c r="K36" s="3"/>
      <c r="L36" s="3"/>
      <c r="M36" s="3"/>
      <c r="N36" s="3"/>
      <c r="O36" s="3"/>
      <c r="P36" s="3"/>
      <c r="Q36" s="3"/>
      <c r="R36" s="3"/>
    </row>
    <row r="37" spans="2:18" ht="15.75" customHeight="1" x14ac:dyDescent="0.5">
      <c r="B37" s="38" t="s">
        <v>16</v>
      </c>
      <c r="C37" s="188" t="s">
        <v>591</v>
      </c>
      <c r="D37" s="185"/>
      <c r="E37" s="185"/>
      <c r="F37" s="185"/>
      <c r="G37" s="185"/>
      <c r="H37" s="3"/>
      <c r="I37" s="3"/>
      <c r="J37" s="3"/>
      <c r="K37" s="3"/>
      <c r="L37" s="3"/>
      <c r="M37" s="3"/>
      <c r="N37" s="3"/>
      <c r="O37" s="3"/>
      <c r="P37" s="3"/>
      <c r="Q37" s="3"/>
      <c r="R37" s="3"/>
    </row>
    <row r="38" spans="2:18" ht="15.75" customHeight="1" x14ac:dyDescent="0.5">
      <c r="B38" s="38" t="s">
        <v>25</v>
      </c>
      <c r="C38" s="188" t="s">
        <v>592</v>
      </c>
      <c r="D38" s="185"/>
      <c r="E38" s="185"/>
      <c r="F38" s="185"/>
      <c r="G38" s="185"/>
      <c r="H38" s="3"/>
      <c r="I38" s="3"/>
      <c r="J38" s="3"/>
      <c r="K38" s="3"/>
      <c r="L38" s="3"/>
      <c r="M38" s="3"/>
      <c r="N38" s="3"/>
      <c r="O38" s="3"/>
      <c r="P38" s="3"/>
      <c r="Q38" s="3"/>
      <c r="R38" s="3"/>
    </row>
    <row r="39" spans="2:18" ht="15.75" customHeight="1" x14ac:dyDescent="0.5">
      <c r="B39" s="38" t="s">
        <v>28</v>
      </c>
      <c r="C39" s="188" t="s">
        <v>593</v>
      </c>
      <c r="D39" s="185"/>
      <c r="E39" s="185"/>
      <c r="F39" s="185"/>
      <c r="G39" s="185"/>
      <c r="H39" s="3"/>
      <c r="I39" s="3"/>
      <c r="J39" s="3"/>
      <c r="K39" s="3"/>
      <c r="L39" s="3"/>
      <c r="M39" s="3"/>
      <c r="N39" s="3"/>
      <c r="O39" s="3"/>
      <c r="P39" s="3"/>
      <c r="Q39" s="3"/>
      <c r="R39" s="3"/>
    </row>
    <row r="40" spans="2:18" ht="15.75" customHeight="1" x14ac:dyDescent="0.5">
      <c r="B40" s="38" t="s">
        <v>19</v>
      </c>
      <c r="C40" s="188" t="s">
        <v>594</v>
      </c>
      <c r="D40" s="185"/>
      <c r="E40" s="185"/>
      <c r="F40" s="185"/>
      <c r="G40" s="185"/>
      <c r="H40" s="3"/>
      <c r="I40" s="3"/>
      <c r="J40" s="3"/>
      <c r="K40" s="3"/>
      <c r="L40" s="3"/>
      <c r="M40" s="3"/>
      <c r="N40" s="3"/>
      <c r="O40" s="3"/>
      <c r="P40" s="3"/>
      <c r="Q40" s="3"/>
      <c r="R40" s="3"/>
    </row>
    <row r="41" spans="2:18" ht="15.75" customHeight="1" x14ac:dyDescent="0.5">
      <c r="B41" s="38" t="s">
        <v>22</v>
      </c>
      <c r="C41" s="188" t="s">
        <v>595</v>
      </c>
      <c r="D41" s="185"/>
      <c r="E41" s="185"/>
      <c r="F41" s="185"/>
      <c r="G41" s="185"/>
      <c r="H41" s="3"/>
      <c r="I41" s="3"/>
      <c r="J41" s="3"/>
      <c r="K41" s="3"/>
      <c r="L41" s="3"/>
      <c r="M41" s="3"/>
      <c r="N41" s="3"/>
      <c r="O41" s="3"/>
      <c r="P41" s="3"/>
      <c r="Q41" s="3"/>
      <c r="R41" s="3"/>
    </row>
    <row r="42" spans="2:18" ht="15.75" customHeight="1" x14ac:dyDescent="0.5">
      <c r="B42" s="38" t="s">
        <v>31</v>
      </c>
      <c r="C42" s="188" t="s">
        <v>596</v>
      </c>
      <c r="D42" s="185"/>
      <c r="E42" s="185"/>
      <c r="F42" s="185"/>
      <c r="G42" s="185"/>
      <c r="H42" s="3"/>
      <c r="I42" s="3"/>
      <c r="J42" s="3"/>
      <c r="K42" s="3"/>
      <c r="L42" s="3"/>
      <c r="M42" s="3"/>
      <c r="N42" s="3"/>
      <c r="O42" s="3"/>
      <c r="P42" s="3"/>
      <c r="Q42" s="3"/>
      <c r="R42" s="3"/>
    </row>
    <row r="43" spans="2:18" ht="15.75" customHeight="1" x14ac:dyDescent="0.5">
      <c r="B43" s="3"/>
      <c r="C43" s="3"/>
      <c r="D43" s="3"/>
      <c r="E43" s="3"/>
      <c r="F43" s="3"/>
      <c r="G43" s="3"/>
      <c r="H43" s="3"/>
      <c r="I43" s="3"/>
      <c r="J43" s="3"/>
      <c r="K43" s="3"/>
      <c r="L43" s="3"/>
      <c r="M43" s="3"/>
      <c r="N43" s="3"/>
      <c r="O43" s="3"/>
      <c r="P43" s="3"/>
      <c r="Q43" s="3"/>
      <c r="R43" s="3"/>
    </row>
    <row r="44" spans="2:18" ht="15.75" customHeight="1" x14ac:dyDescent="0.5">
      <c r="B44" s="251" t="s">
        <v>911</v>
      </c>
      <c r="C44" s="3"/>
      <c r="D44" s="3"/>
      <c r="E44" s="3"/>
      <c r="F44" s="3"/>
      <c r="G44" s="3"/>
      <c r="H44" s="3"/>
      <c r="I44" s="3"/>
      <c r="J44" s="3"/>
      <c r="K44" s="3"/>
      <c r="L44" s="3"/>
      <c r="M44" s="3"/>
      <c r="N44" s="3"/>
      <c r="O44" s="3"/>
      <c r="P44" s="3"/>
      <c r="Q44" s="3"/>
      <c r="R44" s="3"/>
    </row>
    <row r="45" spans="2:18" ht="15.75" customHeight="1" x14ac:dyDescent="0.5">
      <c r="B45" s="3" t="s">
        <v>912</v>
      </c>
      <c r="C45" s="252">
        <v>309.10000000000002</v>
      </c>
      <c r="D45" s="3"/>
      <c r="E45" s="3"/>
      <c r="F45" s="3" t="s">
        <v>913</v>
      </c>
      <c r="G45" s="253">
        <f>C17</f>
        <v>183.77816669798423</v>
      </c>
      <c r="H45" s="3"/>
      <c r="I45" s="3"/>
      <c r="J45" s="3"/>
      <c r="K45" s="3"/>
      <c r="L45" s="3"/>
      <c r="M45" s="3"/>
      <c r="N45" s="3"/>
      <c r="O45" s="3"/>
      <c r="P45" s="3"/>
      <c r="Q45" s="3"/>
      <c r="R45" s="3"/>
    </row>
    <row r="46" spans="2:18" ht="15.75" customHeight="1" x14ac:dyDescent="0.5">
      <c r="B46" s="3" t="s">
        <v>914</v>
      </c>
      <c r="C46" s="252">
        <v>315</v>
      </c>
      <c r="D46" s="3"/>
      <c r="E46" s="3"/>
      <c r="F46" s="3" t="s">
        <v>915</v>
      </c>
      <c r="G46" s="253">
        <f>C21</f>
        <v>204.28057290452983</v>
      </c>
      <c r="H46" s="3"/>
      <c r="I46" s="3"/>
      <c r="J46" s="3"/>
      <c r="K46" s="3"/>
      <c r="L46" s="3"/>
      <c r="M46" s="3"/>
      <c r="N46" s="3"/>
      <c r="O46" s="3"/>
      <c r="P46" s="3"/>
      <c r="Q46" s="3"/>
      <c r="R46" s="3"/>
    </row>
    <row r="47" spans="2:18" ht="15.75" customHeight="1" x14ac:dyDescent="0.5">
      <c r="B47" s="3" t="s">
        <v>916</v>
      </c>
      <c r="C47" s="254">
        <v>360</v>
      </c>
      <c r="D47" s="258">
        <v>207</v>
      </c>
      <c r="E47" s="254"/>
      <c r="F47" s="3" t="s">
        <v>917</v>
      </c>
      <c r="G47" s="255">
        <f>C45/G33-1</f>
        <v>0.27859358841778703</v>
      </c>
      <c r="H47" s="3"/>
      <c r="I47" s="3"/>
      <c r="J47" s="3"/>
      <c r="K47" s="3"/>
      <c r="L47" s="3"/>
      <c r="M47" s="3"/>
      <c r="N47" s="3"/>
      <c r="O47" s="3"/>
      <c r="P47" s="3"/>
      <c r="Q47" s="3"/>
      <c r="R47" s="3"/>
    </row>
    <row r="48" spans="2:18" ht="15.75" customHeight="1" x14ac:dyDescent="0.5">
      <c r="B48" s="3" t="s">
        <v>918</v>
      </c>
      <c r="C48" s="256">
        <v>1.78</v>
      </c>
      <c r="D48" s="3"/>
      <c r="E48" s="3"/>
      <c r="F48" s="3" t="s">
        <v>919</v>
      </c>
      <c r="G48" s="255">
        <f>G46/G33-1</f>
        <v>-0.15499245954692931</v>
      </c>
      <c r="H48" s="3"/>
      <c r="I48" s="3"/>
      <c r="J48" s="3"/>
      <c r="K48" s="3"/>
      <c r="L48" s="3"/>
      <c r="M48" s="3"/>
      <c r="N48" s="3"/>
      <c r="O48" s="3"/>
      <c r="P48" s="3"/>
      <c r="Q48" s="3"/>
      <c r="R48" s="3"/>
    </row>
    <row r="49" spans="2:18" ht="15.75" customHeight="1" x14ac:dyDescent="0.5">
      <c r="B49" s="3" t="s">
        <v>920</v>
      </c>
      <c r="C49" s="257">
        <v>0.20499999999999999</v>
      </c>
      <c r="D49" s="3"/>
      <c r="E49" s="3"/>
      <c r="F49" s="3" t="s">
        <v>921</v>
      </c>
      <c r="G49" s="255">
        <f>G46/C45-1</f>
        <v>-0.33911170202352048</v>
      </c>
      <c r="H49" s="3"/>
      <c r="I49" s="3"/>
      <c r="J49" s="3"/>
      <c r="K49" s="3"/>
      <c r="L49" s="3"/>
      <c r="M49" s="3"/>
      <c r="N49" s="3"/>
      <c r="O49" s="3"/>
      <c r="P49" s="3"/>
      <c r="Q49" s="3"/>
      <c r="R49" s="3"/>
    </row>
    <row r="50" spans="2:18" ht="15.75" hidden="1" customHeight="1" x14ac:dyDescent="0.5">
      <c r="B50" s="186" t="s">
        <v>597</v>
      </c>
      <c r="C50" s="185"/>
      <c r="D50" s="185"/>
      <c r="E50" s="185"/>
      <c r="F50" s="185"/>
      <c r="G50" s="185"/>
      <c r="H50" s="3"/>
      <c r="I50" s="3"/>
      <c r="J50" s="3"/>
      <c r="K50" s="3"/>
      <c r="L50" s="3"/>
      <c r="M50" s="3"/>
      <c r="N50" s="3"/>
      <c r="O50" s="3"/>
      <c r="P50" s="3"/>
      <c r="Q50" s="3"/>
      <c r="R50" s="3"/>
    </row>
    <row r="51" spans="2:18" ht="15.75" hidden="1" customHeight="1" x14ac:dyDescent="0.5">
      <c r="B51" s="3"/>
      <c r="C51" s="3"/>
      <c r="D51" s="3"/>
      <c r="E51" s="3"/>
      <c r="F51" s="3"/>
      <c r="G51" s="3"/>
      <c r="H51" s="139" t="s">
        <v>598</v>
      </c>
      <c r="I51" s="139" t="s">
        <v>599</v>
      </c>
      <c r="J51" s="139" t="s">
        <v>600</v>
      </c>
      <c r="K51" s="139" t="s">
        <v>601</v>
      </c>
      <c r="L51" s="139" t="s">
        <v>602</v>
      </c>
      <c r="M51" s="139" t="s">
        <v>603</v>
      </c>
      <c r="N51" s="139" t="s">
        <v>604</v>
      </c>
      <c r="O51" s="139" t="s">
        <v>605</v>
      </c>
      <c r="P51" s="139" t="s">
        <v>606</v>
      </c>
      <c r="Q51" s="139" t="s">
        <v>607</v>
      </c>
      <c r="R51" s="139" t="s">
        <v>608</v>
      </c>
    </row>
    <row r="52" spans="2:18" ht="15.75" hidden="1" customHeight="1" x14ac:dyDescent="0.5">
      <c r="B52" s="139" t="s">
        <v>609</v>
      </c>
      <c r="C52" s="3"/>
      <c r="D52" s="3"/>
      <c r="E52" s="3"/>
      <c r="F52" s="3"/>
      <c r="G52" s="3"/>
      <c r="H52" s="140">
        <f>((('⚙️ Assumptions'!C26*(1+'⚙️ Assumptions'!C27)^1*(1+'⚙️ Assumptions'!C28)^0*(1+'⚙️ Assumptions'!C29)^0)*(('⚙️ Assumptions'!C37+0*('⚙️ Assumptions'!C38-'⚙️ Assumptions'!C37))-'⚙️ Assumptions'!C40))*(1-('⚙️ Assumptions'!C43-'⚙️ Assumptions'!C44))+('⚙️ Assumptions'!C26*(1+'⚙️ Assumptions'!C27)^1*(1+'⚙️ Assumptions'!C28)^0*(1+'⚙️ Assumptions'!C29)^0)*'⚙️ Assumptions'!C40-('⚙️ Assumptions'!C26*(1+'⚙️ Assumptions'!C27)^1*(1+'⚙️ Assumptions'!C28)^0*(1+'⚙️ Assumptions'!C29)^0)*'⚙️ Assumptions'!C47-(('⚙️ Assumptions'!C26*(1+'⚙️ Assumptions'!C27)^1*(1+'⚙️ Assumptions'!C28)^0*(1+'⚙️ Assumptions'!C29)^0)-('⚙️ Assumptions'!C26))*'⚙️ Assumptions'!C50-('⚙️ Assumptions'!C26*(1+'⚙️ Assumptions'!C27)^1*(1+'⚙️ Assumptions'!C28)^0*(1+'⚙️ Assumptions'!C29)^0)*'⚙️ Assumptions'!C52)</f>
        <v>-13635.894480000001</v>
      </c>
      <c r="I52" s="140">
        <f>((('⚙️ Assumptions'!C26*(1+'⚙️ Assumptions'!C27)^2*(1+'⚙️ Assumptions'!C28)^0*(1+'⚙️ Assumptions'!C29)^0)*(('⚙️ Assumptions'!C37+0.25*('⚙️ Assumptions'!C38-'⚙️ Assumptions'!C37))-'⚙️ Assumptions'!C40))*(1-('⚙️ Assumptions'!C43-'⚙️ Assumptions'!C44))+('⚙️ Assumptions'!C26*(1+'⚙️ Assumptions'!C27)^2*(1+'⚙️ Assumptions'!C28)^0*(1+'⚙️ Assumptions'!C29)^0)*'⚙️ Assumptions'!C40-('⚙️ Assumptions'!C26*(1+'⚙️ Assumptions'!C27)^2*(1+'⚙️ Assumptions'!C28)^0*(1+'⚙️ Assumptions'!C29)^0)*'⚙️ Assumptions'!C47-(('⚙️ Assumptions'!C26*(1+'⚙️ Assumptions'!C27)^2*(1+'⚙️ Assumptions'!C28)^0*(1+'⚙️ Assumptions'!C29)^0)-('⚙️ Assumptions'!C26*(1+'⚙️ Assumptions'!C27)^1*(1+'⚙️ Assumptions'!C28)^0*(1+'⚙️ Assumptions'!C29)^0))*'⚙️ Assumptions'!C50-('⚙️ Assumptions'!C26*(1+'⚙️ Assumptions'!C27)^2*(1+'⚙️ Assumptions'!C28)^0*(1+'⚙️ Assumptions'!C29)^0)*'⚙️ Assumptions'!C52)</f>
        <v>-9022.9186943999994</v>
      </c>
      <c r="J52" s="140">
        <f>((('⚙️ Assumptions'!C26*(1+'⚙️ Assumptions'!C27)^3*(1+'⚙️ Assumptions'!C28)^0*(1+'⚙️ Assumptions'!C29)^0)*(('⚙️ Assumptions'!C37+0.5*('⚙️ Assumptions'!C38-'⚙️ Assumptions'!C37))-'⚙️ Assumptions'!C40))*(1-('⚙️ Assumptions'!C43-'⚙️ Assumptions'!C44))+('⚙️ Assumptions'!C26*(1+'⚙️ Assumptions'!C27)^3*(1+'⚙️ Assumptions'!C28)^0*(1+'⚙️ Assumptions'!C29)^0)*'⚙️ Assumptions'!C40-('⚙️ Assumptions'!C26*(1+'⚙️ Assumptions'!C27)^3*(1+'⚙️ Assumptions'!C28)^0*(1+'⚙️ Assumptions'!C29)^0)*'⚙️ Assumptions'!C47-(('⚙️ Assumptions'!C26*(1+'⚙️ Assumptions'!C27)^3*(1+'⚙️ Assumptions'!C28)^0*(1+'⚙️ Assumptions'!C29)^0)-('⚙️ Assumptions'!C26*(1+'⚙️ Assumptions'!C27)^2*(1+'⚙️ Assumptions'!C28)^0*(1+'⚙️ Assumptions'!C29)^0))*'⚙️ Assumptions'!C50-('⚙️ Assumptions'!C26*(1+'⚙️ Assumptions'!C27)^3*(1+'⚙️ Assumptions'!C28)^0*(1+'⚙️ Assumptions'!C29)^0)*'⚙️ Assumptions'!C52)</f>
        <v>-2851.04615702405</v>
      </c>
      <c r="K52" s="140">
        <f>((('⚙️ Assumptions'!C26*(1+'⚙️ Assumptions'!C27)^3*(1+'⚙️ Assumptions'!C28)^1*(1+'⚙️ Assumptions'!C29)^0)*(('⚙️ Assumptions'!C37+0.75*('⚙️ Assumptions'!C38-'⚙️ Assumptions'!C37))-'⚙️ Assumptions'!C40))*(1-'⚙️ Assumptions'!C43)+('⚙️ Assumptions'!C26*(1+'⚙️ Assumptions'!C27)^3*(1+'⚙️ Assumptions'!C28)^1*(1+'⚙️ Assumptions'!C29)^0)*'⚙️ Assumptions'!C40-('⚙️ Assumptions'!C26*(1+'⚙️ Assumptions'!C27)^3*(1+'⚙️ Assumptions'!C28)^1*(1+'⚙️ Assumptions'!C29)^0)*'⚙️ Assumptions'!C48-(('⚙️ Assumptions'!C26*(1+'⚙️ Assumptions'!C27)^3*(1+'⚙️ Assumptions'!C28)^1*(1+'⚙️ Assumptions'!C29)^0)-('⚙️ Assumptions'!C26*(1+'⚙️ Assumptions'!C27)^3*(1+'⚙️ Assumptions'!C28)^0*(1+'⚙️ Assumptions'!C29)^0))*'⚙️ Assumptions'!C50-('⚙️ Assumptions'!C26*(1+'⚙️ Assumptions'!C27)^3*(1+'⚙️ Assumptions'!C28)^1*(1+'⚙️ Assumptions'!C29)^0)*'⚙️ Assumptions'!C52)</f>
        <v>92137.915515218076</v>
      </c>
      <c r="L52" s="140">
        <f>((('⚙️ Assumptions'!C26*(1+'⚙️ Assumptions'!C27)^3*(1+'⚙️ Assumptions'!C28)^2*(1+'⚙️ Assumptions'!C29)^0)*(('⚙️ Assumptions'!C37+1*('⚙️ Assumptions'!C38-'⚙️ Assumptions'!C37))-'⚙️ Assumptions'!C40))*(1-'⚙️ Assumptions'!C43)+('⚙️ Assumptions'!C26*(1+'⚙️ Assumptions'!C27)^3*(1+'⚙️ Assumptions'!C28)^2*(1+'⚙️ Assumptions'!C29)^0)*'⚙️ Assumptions'!C40-('⚙️ Assumptions'!C26*(1+'⚙️ Assumptions'!C27)^3*(1+'⚙️ Assumptions'!C28)^2*(1+'⚙️ Assumptions'!C29)^0)*'⚙️ Assumptions'!C48-(('⚙️ Assumptions'!C26*(1+'⚙️ Assumptions'!C27)^3*(1+'⚙️ Assumptions'!C28)^2*(1+'⚙️ Assumptions'!C29)^0)-('⚙️ Assumptions'!C26*(1+'⚙️ Assumptions'!C27)^3*(1+'⚙️ Assumptions'!C28)^1*(1+'⚙️ Assumptions'!C29)^0))*'⚙️ Assumptions'!C50-('⚙️ Assumptions'!C26*(1+'⚙️ Assumptions'!C27)^3*(1+'⚙️ Assumptions'!C28)^2*(1+'⚙️ Assumptions'!C29)^0)*'⚙️ Assumptions'!C52)</f>
        <v>110235.69966133303</v>
      </c>
      <c r="M52" s="140">
        <f>((('⚙️ Assumptions'!C26*(1+'⚙️ Assumptions'!C27)^3*(1+'⚙️ Assumptions'!C28)^3*(1+'⚙️ Assumptions'!C29)^0)*(('⚙️ Assumptions'!C38+0.2*('⚙️ Assumptions'!C39-'⚙️ Assumptions'!C38))-'⚙️ Assumptions'!C40))*(1-'⚙️ Assumptions'!C43)+('⚙️ Assumptions'!C26*(1+'⚙️ Assumptions'!C27)^3*(1+'⚙️ Assumptions'!C28)^3*(1+'⚙️ Assumptions'!C29)^0)*'⚙️ Assumptions'!C40-('⚙️ Assumptions'!C26*(1+'⚙️ Assumptions'!C27)^3*(1+'⚙️ Assumptions'!C28)^3*(1+'⚙️ Assumptions'!C29)^0)*'⚙️ Assumptions'!C48-(('⚙️ Assumptions'!C26*(1+'⚙️ Assumptions'!C27)^3*(1+'⚙️ Assumptions'!C28)^3*(1+'⚙️ Assumptions'!C29)^0)-('⚙️ Assumptions'!C26*(1+'⚙️ Assumptions'!C27)^3*(1+'⚙️ Assumptions'!C28)^2*(1+'⚙️ Assumptions'!C29)^0))*'⚙️ Assumptions'!C50-('⚙️ Assumptions'!C26*(1+'⚙️ Assumptions'!C27)^3*(1+'⚙️ Assumptions'!C28)^3*(1+'⚙️ Assumptions'!C29)^0)*'⚙️ Assumptions'!C52)</f>
        <v>125726.6487607474</v>
      </c>
      <c r="N52" s="140">
        <f>((('⚙️ Assumptions'!C26*(1+'⚙️ Assumptions'!C27)^3*(1+'⚙️ Assumptions'!C28)^4*(1+'⚙️ Assumptions'!C29)^0)*(('⚙️ Assumptions'!C38+0.4*('⚙️ Assumptions'!C39-'⚙️ Assumptions'!C38))-'⚙️ Assumptions'!C40))*(1-'⚙️ Assumptions'!C43)+('⚙️ Assumptions'!C26*(1+'⚙️ Assumptions'!C27)^3*(1+'⚙️ Assumptions'!C28)^4*(1+'⚙️ Assumptions'!C29)^0)*'⚙️ Assumptions'!C40-('⚙️ Assumptions'!C26*(1+'⚙️ Assumptions'!C27)^3*(1+'⚙️ Assumptions'!C28)^4*(1+'⚙️ Assumptions'!C29)^0)*'⚙️ Assumptions'!C48-(('⚙️ Assumptions'!C26*(1+'⚙️ Assumptions'!C27)^3*(1+'⚙️ Assumptions'!C28)^4*(1+'⚙️ Assumptions'!C29)^0)-('⚙️ Assumptions'!C26*(1+'⚙️ Assumptions'!C27)^3*(1+'⚙️ Assumptions'!C28)^3*(1+'⚙️ Assumptions'!C29)^0))*'⚙️ Assumptions'!C50-('⚙️ Assumptions'!C26*(1+'⚙️ Assumptions'!C27)^3*(1+'⚙️ Assumptions'!C28)^4*(1+'⚙️ Assumptions'!C29)^0)*'⚙️ Assumptions'!C52)</f>
        <v>143213.43068343145</v>
      </c>
      <c r="O52" s="140">
        <f>((('⚙️ Assumptions'!C26*(1+'⚙️ Assumptions'!C27)^3*(1+'⚙️ Assumptions'!C28)^4*(1+'⚙️ Assumptions'!C29)^1)*(('⚙️ Assumptions'!C38+0.6*('⚙️ Assumptions'!C39-'⚙️ Assumptions'!C38))-'⚙️ Assumptions'!C40))*(1-'⚙️ Assumptions'!C43)+('⚙️ Assumptions'!C26*(1+'⚙️ Assumptions'!C27)^3*(1+'⚙️ Assumptions'!C28)^4*(1+'⚙️ Assumptions'!C29)^1)*'⚙️ Assumptions'!C40-('⚙️ Assumptions'!C26*(1+'⚙️ Assumptions'!C27)^3*(1+'⚙️ Assumptions'!C28)^4*(1+'⚙️ Assumptions'!C29)^1)*'⚙️ Assumptions'!C49-(('⚙️ Assumptions'!C26*(1+'⚙️ Assumptions'!C27)^3*(1+'⚙️ Assumptions'!C28)^4*(1+'⚙️ Assumptions'!C29)^1)-('⚙️ Assumptions'!C26*(1+'⚙️ Assumptions'!C27)^3*(1+'⚙️ Assumptions'!C28)^4*(1+'⚙️ Assumptions'!C29)^0))*'⚙️ Assumptions'!C50-('⚙️ Assumptions'!C26*(1+'⚙️ Assumptions'!C27)^3*(1+'⚙️ Assumptions'!C28)^4*(1+'⚙️ Assumptions'!C29)^1)*'⚙️ Assumptions'!C52)</f>
        <v>199921.83245937529</v>
      </c>
      <c r="P52" s="140">
        <f>((('⚙️ Assumptions'!C26*(1+'⚙️ Assumptions'!C27)^3*(1+'⚙️ Assumptions'!C28)^4*(1+'⚙️ Assumptions'!C29)^2)*(('⚙️ Assumptions'!C38+0.8*('⚙️ Assumptions'!C39-'⚙️ Assumptions'!C38))-'⚙️ Assumptions'!C40))*(1-'⚙️ Assumptions'!C43)+('⚙️ Assumptions'!C26*(1+'⚙️ Assumptions'!C27)^3*(1+'⚙️ Assumptions'!C28)^4*(1+'⚙️ Assumptions'!C29)^2)*'⚙️ Assumptions'!C40-('⚙️ Assumptions'!C26*(1+'⚙️ Assumptions'!C27)^3*(1+'⚙️ Assumptions'!C28)^4*(1+'⚙️ Assumptions'!C29)^2)*'⚙️ Assumptions'!C49-(('⚙️ Assumptions'!C26*(1+'⚙️ Assumptions'!C27)^3*(1+'⚙️ Assumptions'!C28)^4*(1+'⚙️ Assumptions'!C29)^2)-('⚙️ Assumptions'!C26*(1+'⚙️ Assumptions'!C27)^3*(1+'⚙️ Assumptions'!C28)^4*(1+'⚙️ Assumptions'!C29)^1))*'⚙️ Assumptions'!C50-('⚙️ Assumptions'!C26*(1+'⚙️ Assumptions'!C27)^3*(1+'⚙️ Assumptions'!C28)^4*(1+'⚙️ Assumptions'!C29)^2)*'⚙️ Assumptions'!C52)</f>
        <v>217438.64432050797</v>
      </c>
      <c r="Q52" s="140">
        <f>((('⚙️ Assumptions'!C26*(1+'⚙️ Assumptions'!C27)^3*(1+'⚙️ Assumptions'!C28)^4*(1+'⚙️ Assumptions'!C29)^3)*(('⚙️ Assumptions'!C38+1*('⚙️ Assumptions'!C39-'⚙️ Assumptions'!C38))-'⚙️ Assumptions'!C40))*(1-'⚙️ Assumptions'!C43)+('⚙️ Assumptions'!C26*(1+'⚙️ Assumptions'!C27)^3*(1+'⚙️ Assumptions'!C28)^4*(1+'⚙️ Assumptions'!C29)^3)*'⚙️ Assumptions'!C40-('⚙️ Assumptions'!C26*(1+'⚙️ Assumptions'!C27)^3*(1+'⚙️ Assumptions'!C28)^4*(1+'⚙️ Assumptions'!C29)^3)*'⚙️ Assumptions'!C49-(('⚙️ Assumptions'!C26*(1+'⚙️ Assumptions'!C27)^3*(1+'⚙️ Assumptions'!C28)^4*(1+'⚙️ Assumptions'!C29)^3)-('⚙️ Assumptions'!C26*(1+'⚙️ Assumptions'!C27)^3*(1+'⚙️ Assumptions'!C28)^4*(1+'⚙️ Assumptions'!C29)^2))*'⚙️ Assumptions'!C50-('⚙️ Assumptions'!C26*(1+'⚙️ Assumptions'!C27)^3*(1+'⚙️ Assumptions'!C28)^4*(1+'⚙️ Assumptions'!C29)^3)*'⚙️ Assumptions'!C52)</f>
        <v>236337.75500812283</v>
      </c>
      <c r="R52" s="140">
        <f>(('⚙️ Assumptions'!C26*(1+'⚙️ Assumptions'!C27)^3*(1+'⚙️ Assumptions'!C28)^4*(1+'⚙️ Assumptions'!C29)^3)*(1+'⚙️ Assumptions'!C69))*('⚙️ Assumptions'!C70-'⚙️ Assumptions'!C40)*(1-'⚙️ Assumptions'!C43)+(('⚙️ Assumptions'!C26*(1+'⚙️ Assumptions'!C27)^3*(1+'⚙️ Assumptions'!C28)^4*(1+'⚙️ Assumptions'!C29)^3)*(1+'⚙️ Assumptions'!C69))*'⚙️ Assumptions'!C40-(('⚙️ Assumptions'!C26*(1+'⚙️ Assumptions'!C27)^3*(1+'⚙️ Assumptions'!C28)^4*(1+'⚙️ Assumptions'!C29)^3)*(1+'⚙️ Assumptions'!C69))*'⚙️ Assumptions'!C71-((('⚙️ Assumptions'!C26*(1+'⚙️ Assumptions'!C27)^3*(1+'⚙️ Assumptions'!C28)^4*(1+'⚙️ Assumptions'!C29)^3)*(1+'⚙️ Assumptions'!C69))-('⚙️ Assumptions'!C26*(1+'⚙️ Assumptions'!C27)^3*(1+'⚙️ Assumptions'!C28)^4*(1+'⚙️ Assumptions'!C29)^3))*'⚙️ Assumptions'!C50-(('⚙️ Assumptions'!C26*(1+'⚙️ Assumptions'!C27)^3*(1+'⚙️ Assumptions'!C28)^4*(1+'⚙️ Assumptions'!C29)^3)*(1+'⚙️ Assumptions'!C69))*'⚙️ Assumptions'!C52</f>
        <v>250532.83750361876</v>
      </c>
    </row>
    <row r="53" spans="2:18" ht="15.75" hidden="1" customHeight="1" x14ac:dyDescent="0.5">
      <c r="B53" s="139" t="s">
        <v>610</v>
      </c>
      <c r="C53" s="3"/>
      <c r="D53" s="3"/>
      <c r="E53" s="3"/>
      <c r="F53" s="3"/>
      <c r="G53" s="3"/>
      <c r="H53" s="140">
        <f>((('⚙️ Assumptions'!D26*(1+'⚙️ Assumptions'!D27)^1*(1+'⚙️ Assumptions'!D28)^0*(1+'⚙️ Assumptions'!D29)^0)*(('⚙️ Assumptions'!D37+0*('⚙️ Assumptions'!D38-'⚙️ Assumptions'!D37))-'⚙️ Assumptions'!D40))*(1-('⚙️ Assumptions'!D43-'⚙️ Assumptions'!D44))+('⚙️ Assumptions'!D26*(1+'⚙️ Assumptions'!D27)^1*(1+'⚙️ Assumptions'!D28)^0*(1+'⚙️ Assumptions'!D29)^0)*'⚙️ Assumptions'!D40-('⚙️ Assumptions'!D26*(1+'⚙️ Assumptions'!D27)^1*(1+'⚙️ Assumptions'!D28)^0*(1+'⚙️ Assumptions'!D29)^0)*'⚙️ Assumptions'!D47-(('⚙️ Assumptions'!D26*(1+'⚙️ Assumptions'!D27)^1*(1+'⚙️ Assumptions'!D28)^0*(1+'⚙️ Assumptions'!D29)^0)-('⚙️ Assumptions'!D26))*'⚙️ Assumptions'!D50-('⚙️ Assumptions'!D26*(1+'⚙️ Assumptions'!D27)^1*(1+'⚙️ Assumptions'!D28)^0*(1+'⚙️ Assumptions'!D29)^0)*'⚙️ Assumptions'!D52)</f>
        <v>-34340.659600000021</v>
      </c>
      <c r="I53" s="140">
        <f>((('⚙️ Assumptions'!D26*(1+'⚙️ Assumptions'!D27)^2*(1+'⚙️ Assumptions'!D28)^0*(1+'⚙️ Assumptions'!D29)^0)*(('⚙️ Assumptions'!D37+0.25*('⚙️ Assumptions'!D38-'⚙️ Assumptions'!D37))-'⚙️ Assumptions'!D40))*(1-('⚙️ Assumptions'!D43-'⚙️ Assumptions'!D44))+('⚙️ Assumptions'!D26*(1+'⚙️ Assumptions'!D27)^2*(1+'⚙️ Assumptions'!D28)^0*(1+'⚙️ Assumptions'!D29)^0)*'⚙️ Assumptions'!D40-('⚙️ Assumptions'!D26*(1+'⚙️ Assumptions'!D27)^2*(1+'⚙️ Assumptions'!D28)^0*(1+'⚙️ Assumptions'!D29)^0)*'⚙️ Assumptions'!D47-(('⚙️ Assumptions'!D26*(1+'⚙️ Assumptions'!D27)^2*(1+'⚙️ Assumptions'!D28)^0*(1+'⚙️ Assumptions'!D29)^0)-('⚙️ Assumptions'!D26*(1+'⚙️ Assumptions'!D27)^1*(1+'⚙️ Assumptions'!D28)^0*(1+'⚙️ Assumptions'!D29)^0))*'⚙️ Assumptions'!D50-('⚙️ Assumptions'!D26*(1+'⚙️ Assumptions'!D27)^2*(1+'⚙️ Assumptions'!D28)^0*(1+'⚙️ Assumptions'!D29)^0)*'⚙️ Assumptions'!D52)</f>
        <v>-35302.413146000021</v>
      </c>
      <c r="J53" s="140">
        <f>((('⚙️ Assumptions'!D26*(1+'⚙️ Assumptions'!D27)^3*(1+'⚙️ Assumptions'!D28)^0*(1+'⚙️ Assumptions'!D29)^0)*(('⚙️ Assumptions'!D37+0.5*('⚙️ Assumptions'!D38-'⚙️ Assumptions'!D37))-'⚙️ Assumptions'!D40))*(1-('⚙️ Assumptions'!D43-'⚙️ Assumptions'!D44))+('⚙️ Assumptions'!D26*(1+'⚙️ Assumptions'!D27)^3*(1+'⚙️ Assumptions'!D28)^0*(1+'⚙️ Assumptions'!D29)^0)*'⚙️ Assumptions'!D40-('⚙️ Assumptions'!D26*(1+'⚙️ Assumptions'!D27)^3*(1+'⚙️ Assumptions'!D28)^0*(1+'⚙️ Assumptions'!D29)^0)*'⚙️ Assumptions'!D47-(('⚙️ Assumptions'!D26*(1+'⚙️ Assumptions'!D27)^3*(1+'⚙️ Assumptions'!D28)^0*(1+'⚙️ Assumptions'!D29)^0)-('⚙️ Assumptions'!D26*(1+'⚙️ Assumptions'!D27)^2*(1+'⚙️ Assumptions'!D28)^0*(1+'⚙️ Assumptions'!D29)^0))*'⚙️ Assumptions'!D50-('⚙️ Assumptions'!D26*(1+'⚙️ Assumptions'!D27)^3*(1+'⚙️ Assumptions'!D28)^0*(1+'⚙️ Assumptions'!D29)^0)*'⚙️ Assumptions'!D52)</f>
        <v>-36113.11080520002</v>
      </c>
      <c r="K53" s="140">
        <f>((('⚙️ Assumptions'!D26*(1+'⚙️ Assumptions'!D27)^3*(1+'⚙️ Assumptions'!D28)^1*(1+'⚙️ Assumptions'!D29)^0)*(('⚙️ Assumptions'!D37+0.75*('⚙️ Assumptions'!D38-'⚙️ Assumptions'!D37))-'⚙️ Assumptions'!D40))*(1-'⚙️ Assumptions'!D43)+('⚙️ Assumptions'!D26*(1+'⚙️ Assumptions'!D27)^3*(1+'⚙️ Assumptions'!D28)^1*(1+'⚙️ Assumptions'!D29)^0)*'⚙️ Assumptions'!D40-('⚙️ Assumptions'!D26*(1+'⚙️ Assumptions'!D27)^3*(1+'⚙️ Assumptions'!D28)^1*(1+'⚙️ Assumptions'!D29)^0)*'⚙️ Assumptions'!D48-(('⚙️ Assumptions'!D26*(1+'⚙️ Assumptions'!D27)^3*(1+'⚙️ Assumptions'!D28)^1*(1+'⚙️ Assumptions'!D29)^0)-('⚙️ Assumptions'!D26*(1+'⚙️ Assumptions'!D27)^3*(1+'⚙️ Assumptions'!D28)^0*(1+'⚙️ Assumptions'!D29)^0))*'⚙️ Assumptions'!D50-('⚙️ Assumptions'!D26*(1+'⚙️ Assumptions'!D27)^3*(1+'⚙️ Assumptions'!D28)^1*(1+'⚙️ Assumptions'!D29)^0)*'⚙️ Assumptions'!D52)</f>
        <v>26831.399394513981</v>
      </c>
      <c r="L53" s="140">
        <f>((('⚙️ Assumptions'!D26*(1+'⚙️ Assumptions'!D27)^3*(1+'⚙️ Assumptions'!D28)^2*(1+'⚙️ Assumptions'!D29)^0)*(('⚙️ Assumptions'!D37+1*('⚙️ Assumptions'!D38-'⚙️ Assumptions'!D37))-'⚙️ Assumptions'!D40))*(1-'⚙️ Assumptions'!D43)+('⚙️ Assumptions'!D26*(1+'⚙️ Assumptions'!D27)^3*(1+'⚙️ Assumptions'!D28)^2*(1+'⚙️ Assumptions'!D29)^0)*'⚙️ Assumptions'!D40-('⚙️ Assumptions'!D26*(1+'⚙️ Assumptions'!D27)^3*(1+'⚙️ Assumptions'!D28)^2*(1+'⚙️ Assumptions'!D29)^0)*'⚙️ Assumptions'!D48-(('⚙️ Assumptions'!D26*(1+'⚙️ Assumptions'!D27)^3*(1+'⚙️ Assumptions'!D28)^2*(1+'⚙️ Assumptions'!D29)^0)-('⚙️ Assumptions'!D26*(1+'⚙️ Assumptions'!D27)^3*(1+'⚙️ Assumptions'!D28)^1*(1+'⚙️ Assumptions'!D29)^0))*'⚙️ Assumptions'!D50-('⚙️ Assumptions'!D26*(1+'⚙️ Assumptions'!D27)^3*(1+'⚙️ Assumptions'!D28)^2*(1+'⚙️ Assumptions'!D29)^0)*'⚙️ Assumptions'!D52)</f>
        <v>31823.202883197438</v>
      </c>
      <c r="M53" s="140">
        <f>((('⚙️ Assumptions'!D26*(1+'⚙️ Assumptions'!D27)^3*(1+'⚙️ Assumptions'!D28)^3*(1+'⚙️ Assumptions'!D29)^0)*(('⚙️ Assumptions'!D38+0.2*('⚙️ Assumptions'!D39-'⚙️ Assumptions'!D38))-'⚙️ Assumptions'!D40))*(1-'⚙️ Assumptions'!D43)+('⚙️ Assumptions'!D26*(1+'⚙️ Assumptions'!D27)^3*(1+'⚙️ Assumptions'!D28)^3*(1+'⚙️ Assumptions'!D29)^0)*'⚙️ Assumptions'!D40-('⚙️ Assumptions'!D26*(1+'⚙️ Assumptions'!D27)^3*(1+'⚙️ Assumptions'!D28)^3*(1+'⚙️ Assumptions'!D29)^0)*'⚙️ Assumptions'!D48-(('⚙️ Assumptions'!D26*(1+'⚙️ Assumptions'!D27)^3*(1+'⚙️ Assumptions'!D28)^3*(1+'⚙️ Assumptions'!D29)^0)-('⚙️ Assumptions'!D26*(1+'⚙️ Assumptions'!D27)^3*(1+'⚙️ Assumptions'!D28)^2*(1+'⚙️ Assumptions'!D29)^0))*'⚙️ Assumptions'!D50-('⚙️ Assumptions'!D26*(1+'⚙️ Assumptions'!D27)^3*(1+'⚙️ Assumptions'!D28)^3*(1+'⚙️ Assumptions'!D29)^0)*'⚙️ Assumptions'!D52)</f>
        <v>35827.657974750429</v>
      </c>
      <c r="N53" s="140">
        <f>((('⚙️ Assumptions'!D26*(1+'⚙️ Assumptions'!D27)^3*(1+'⚙️ Assumptions'!D28)^4*(1+'⚙️ Assumptions'!D29)^0)*(('⚙️ Assumptions'!D38+0.4*('⚙️ Assumptions'!D39-'⚙️ Assumptions'!D38))-'⚙️ Assumptions'!D40))*(1-'⚙️ Assumptions'!D43)+('⚙️ Assumptions'!D26*(1+'⚙️ Assumptions'!D27)^3*(1+'⚙️ Assumptions'!D28)^4*(1+'⚙️ Assumptions'!D29)^0)*'⚙️ Assumptions'!D40-('⚙️ Assumptions'!D26*(1+'⚙️ Assumptions'!D27)^3*(1+'⚙️ Assumptions'!D28)^4*(1+'⚙️ Assumptions'!D29)^0)*'⚙️ Assumptions'!D48-(('⚙️ Assumptions'!D26*(1+'⚙️ Assumptions'!D27)^3*(1+'⚙️ Assumptions'!D28)^4*(1+'⚙️ Assumptions'!D29)^0)-('⚙️ Assumptions'!D26*(1+'⚙️ Assumptions'!D27)^3*(1+'⚙️ Assumptions'!D28)^3*(1+'⚙️ Assumptions'!D29)^0))*'⚙️ Assumptions'!D50-('⚙️ Assumptions'!D26*(1+'⚙️ Assumptions'!D27)^3*(1+'⚙️ Assumptions'!D28)^4*(1+'⚙️ Assumptions'!D29)^0)*'⚙️ Assumptions'!D52)</f>
        <v>40236.803084993182</v>
      </c>
      <c r="O53" s="140">
        <f>((('⚙️ Assumptions'!D26*(1+'⚙️ Assumptions'!D27)^3*(1+'⚙️ Assumptions'!D28)^4*(1+'⚙️ Assumptions'!D29)^1)*(('⚙️ Assumptions'!D38+0.6*('⚙️ Assumptions'!D39-'⚙️ Assumptions'!D38))-'⚙️ Assumptions'!D40))*(1-'⚙️ Assumptions'!D43)+('⚙️ Assumptions'!D26*(1+'⚙️ Assumptions'!D27)^3*(1+'⚙️ Assumptions'!D28)^4*(1+'⚙️ Assumptions'!D29)^1)*'⚙️ Assumptions'!D40-('⚙️ Assumptions'!D26*(1+'⚙️ Assumptions'!D27)^3*(1+'⚙️ Assumptions'!D28)^4*(1+'⚙️ Assumptions'!D29)^1)*'⚙️ Assumptions'!D49-(('⚙️ Assumptions'!D26*(1+'⚙️ Assumptions'!D27)^3*(1+'⚙️ Assumptions'!D28)^4*(1+'⚙️ Assumptions'!D29)^1)-('⚙️ Assumptions'!D26*(1+'⚙️ Assumptions'!D27)^3*(1+'⚙️ Assumptions'!D28)^4*(1+'⚙️ Assumptions'!D29)^0))*'⚙️ Assumptions'!D50-('⚙️ Assumptions'!D26*(1+'⚙️ Assumptions'!D27)^3*(1+'⚙️ Assumptions'!D28)^4*(1+'⚙️ Assumptions'!D29)^1)*'⚙️ Assumptions'!D52)</f>
        <v>97610.074002890295</v>
      </c>
      <c r="P53" s="140">
        <f>((('⚙️ Assumptions'!D26*(1+'⚙️ Assumptions'!D27)^3*(1+'⚙️ Assumptions'!D28)^4*(1+'⚙️ Assumptions'!D29)^2)*(('⚙️ Assumptions'!D38+0.8*('⚙️ Assumptions'!D39-'⚙️ Assumptions'!D38))-'⚙️ Assumptions'!D40))*(1-'⚙️ Assumptions'!D43)+('⚙️ Assumptions'!D26*(1+'⚙️ Assumptions'!D27)^3*(1+'⚙️ Assumptions'!D28)^4*(1+'⚙️ Assumptions'!D29)^2)*'⚙️ Assumptions'!D40-('⚙️ Assumptions'!D26*(1+'⚙️ Assumptions'!D27)^3*(1+'⚙️ Assumptions'!D28)^4*(1+'⚙️ Assumptions'!D29)^2)*'⚙️ Assumptions'!D49-(('⚙️ Assumptions'!D26*(1+'⚙️ Assumptions'!D27)^3*(1+'⚙️ Assumptions'!D28)^4*(1+'⚙️ Assumptions'!D29)^2)-('⚙️ Assumptions'!D26*(1+'⚙️ Assumptions'!D27)^3*(1+'⚙️ Assumptions'!D28)^4*(1+'⚙️ Assumptions'!D29)^1))*'⚙️ Assumptions'!D50-('⚙️ Assumptions'!D26*(1+'⚙️ Assumptions'!D27)^3*(1+'⚙️ Assumptions'!D28)^4*(1+'⚙️ Assumptions'!D29)^2)*'⚙️ Assumptions'!D52)</f>
        <v>103570.82467366011</v>
      </c>
      <c r="Q53" s="140">
        <f>((('⚙️ Assumptions'!D26*(1+'⚙️ Assumptions'!D27)^3*(1+'⚙️ Assumptions'!D28)^4*(1+'⚙️ Assumptions'!D29)^3)*(('⚙️ Assumptions'!D38+1*('⚙️ Assumptions'!D39-'⚙️ Assumptions'!D38))-'⚙️ Assumptions'!D40))*(1-'⚙️ Assumptions'!D43)+('⚙️ Assumptions'!D26*(1+'⚙️ Assumptions'!D27)^3*(1+'⚙️ Assumptions'!D28)^4*(1+'⚙️ Assumptions'!D29)^3)*'⚙️ Assumptions'!D40-('⚙️ Assumptions'!D26*(1+'⚙️ Assumptions'!D27)^3*(1+'⚙️ Assumptions'!D28)^4*(1+'⚙️ Assumptions'!D29)^3)*'⚙️ Assumptions'!D49-(('⚙️ Assumptions'!D26*(1+'⚙️ Assumptions'!D27)^3*(1+'⚙️ Assumptions'!D28)^4*(1+'⚙️ Assumptions'!D29)^3)-('⚙️ Assumptions'!D26*(1+'⚙️ Assumptions'!D27)^3*(1+'⚙️ Assumptions'!D28)^4*(1+'⚙️ Assumptions'!D29)^2))*'⚙️ Assumptions'!D50-('⚙️ Assumptions'!D26*(1+'⚙️ Assumptions'!D27)^3*(1+'⚙️ Assumptions'!D28)^4*(1+'⚙️ Assumptions'!D29)^3)*'⚙️ Assumptions'!D52)</f>
        <v>109852.25927968696</v>
      </c>
      <c r="R53" s="140">
        <f>(('⚙️ Assumptions'!D26*(1+'⚙️ Assumptions'!D27)^3*(1+'⚙️ Assumptions'!D28)^4*(1+'⚙️ Assumptions'!D29)^3)*(1+'⚙️ Assumptions'!D69))*('⚙️ Assumptions'!D70-'⚙️ Assumptions'!D40)*(1-'⚙️ Assumptions'!D43)+(('⚙️ Assumptions'!D26*(1+'⚙️ Assumptions'!D27)^3*(1+'⚙️ Assumptions'!D28)^4*(1+'⚙️ Assumptions'!D29)^3)*(1+'⚙️ Assumptions'!D69))*'⚙️ Assumptions'!D40-(('⚙️ Assumptions'!D26*(1+'⚙️ Assumptions'!D27)^3*(1+'⚙️ Assumptions'!D28)^4*(1+'⚙️ Assumptions'!D29)^3)*(1+'⚙️ Assumptions'!D69))*'⚙️ Assumptions'!D71-((('⚙️ Assumptions'!D26*(1+'⚙️ Assumptions'!D27)^3*(1+'⚙️ Assumptions'!D28)^4*(1+'⚙️ Assumptions'!D29)^3)*(1+'⚙️ Assumptions'!D69))-('⚙️ Assumptions'!D26*(1+'⚙️ Assumptions'!D27)^3*(1+'⚙️ Assumptions'!D28)^4*(1+'⚙️ Assumptions'!D29)^3))*'⚙️ Assumptions'!D50-(('⚙️ Assumptions'!D26*(1+'⚙️ Assumptions'!D27)^3*(1+'⚙️ Assumptions'!D28)^4*(1+'⚙️ Assumptions'!D29)^3)*(1+'⚙️ Assumptions'!D69))*'⚙️ Assumptions'!D52</f>
        <v>113613.21101364671</v>
      </c>
    </row>
    <row r="54" spans="2:18" ht="15.75" hidden="1" customHeight="1" x14ac:dyDescent="0.5">
      <c r="B54" s="139" t="s">
        <v>611</v>
      </c>
      <c r="C54" s="3"/>
      <c r="D54" s="3"/>
      <c r="E54" s="3"/>
      <c r="F54" s="3"/>
      <c r="G54" s="3"/>
      <c r="H54" s="140">
        <f>((('⚙️ Assumptions'!E26*(1+'⚙️ Assumptions'!E27)^1*(1+'⚙️ Assumptions'!E28)^0*(1+'⚙️ Assumptions'!E29)^0)*(('⚙️ Assumptions'!E37+0*('⚙️ Assumptions'!E38-'⚙️ Assumptions'!E37))-'⚙️ Assumptions'!E40))*(1-('⚙️ Assumptions'!E43-'⚙️ Assumptions'!E44))+('⚙️ Assumptions'!E26*(1+'⚙️ Assumptions'!E27)^1*(1+'⚙️ Assumptions'!E28)^0*(1+'⚙️ Assumptions'!E29)^0)*'⚙️ Assumptions'!E40-('⚙️ Assumptions'!E26*(1+'⚙️ Assumptions'!E27)^1*(1+'⚙️ Assumptions'!E28)^0*(1+'⚙️ Assumptions'!E29)^0)*'⚙️ Assumptions'!E47-(('⚙️ Assumptions'!E26*(1+'⚙️ Assumptions'!E27)^1*(1+'⚙️ Assumptions'!E28)^0*(1+'⚙️ Assumptions'!E29)^0)-('⚙️ Assumptions'!E26))*'⚙️ Assumptions'!E50-('⚙️ Assumptions'!E26*(1+'⚙️ Assumptions'!E27)^1*(1+'⚙️ Assumptions'!E28)^0*(1+'⚙️ Assumptions'!E29)^0)*'⚙️ Assumptions'!E52)</f>
        <v>11910.975336000021</v>
      </c>
      <c r="I54" s="140">
        <f>((('⚙️ Assumptions'!E26*(1+'⚙️ Assumptions'!E27)^2*(1+'⚙️ Assumptions'!E28)^0*(1+'⚙️ Assumptions'!E29)^0)*(('⚙️ Assumptions'!E37+0.25*('⚙️ Assumptions'!E38-'⚙️ Assumptions'!E37))-'⚙️ Assumptions'!E40))*(1-('⚙️ Assumptions'!E43-'⚙️ Assumptions'!E44))+('⚙️ Assumptions'!E26*(1+'⚙️ Assumptions'!E27)^2*(1+'⚙️ Assumptions'!E28)^0*(1+'⚙️ Assumptions'!E29)^0)*'⚙️ Assumptions'!E40-('⚙️ Assumptions'!E26*(1+'⚙️ Assumptions'!E27)^2*(1+'⚙️ Assumptions'!E28)^0*(1+'⚙️ Assumptions'!E29)^0)*'⚙️ Assumptions'!E47-(('⚙️ Assumptions'!E26*(1+'⚙️ Assumptions'!E27)^2*(1+'⚙️ Assumptions'!E28)^0*(1+'⚙️ Assumptions'!E29)^0)-('⚙️ Assumptions'!E26*(1+'⚙️ Assumptions'!E27)^1*(1+'⚙️ Assumptions'!E28)^0*(1+'⚙️ Assumptions'!E29)^0))*'⚙️ Assumptions'!E50-('⚙️ Assumptions'!E26*(1+'⚙️ Assumptions'!E27)^2*(1+'⚙️ Assumptions'!E28)^0*(1+'⚙️ Assumptions'!E29)^0)*'⚙️ Assumptions'!E52)</f>
        <v>24240.512410920019</v>
      </c>
      <c r="J54" s="140">
        <f>((('⚙️ Assumptions'!E26*(1+'⚙️ Assumptions'!E27)^3*(1+'⚙️ Assumptions'!E28)^0*(1+'⚙️ Assumptions'!E29)^0)*(('⚙️ Assumptions'!E37+0.5*('⚙️ Assumptions'!E38-'⚙️ Assumptions'!E37))-'⚙️ Assumptions'!E40))*(1-('⚙️ Assumptions'!E43-'⚙️ Assumptions'!E44))+('⚙️ Assumptions'!E26*(1+'⚙️ Assumptions'!E27)^3*(1+'⚙️ Assumptions'!E28)^0*(1+'⚙️ Assumptions'!E29)^0)*'⚙️ Assumptions'!E40-('⚙️ Assumptions'!E26*(1+'⚙️ Assumptions'!E27)^3*(1+'⚙️ Assumptions'!E28)^0*(1+'⚙️ Assumptions'!E29)^0)*'⚙️ Assumptions'!E47-(('⚙️ Assumptions'!E26*(1+'⚙️ Assumptions'!E27)^3*(1+'⚙️ Assumptions'!E28)^0*(1+'⚙️ Assumptions'!E29)^0)-('⚙️ Assumptions'!E26*(1+'⚙️ Assumptions'!E27)^2*(1+'⚙️ Assumptions'!E28)^0*(1+'⚙️ Assumptions'!E29)^0))*'⚙️ Assumptions'!E50-('⚙️ Assumptions'!E26*(1+'⚙️ Assumptions'!E27)^3*(1+'⚙️ Assumptions'!E28)^0*(1+'⚙️ Assumptions'!E29)^0)*'⚙️ Assumptions'!E52)</f>
        <v>40417.864904102389</v>
      </c>
      <c r="K54" s="140">
        <f>((('⚙️ Assumptions'!E26*(1+'⚙️ Assumptions'!E27)^3*(1+'⚙️ Assumptions'!E28)^1*(1+'⚙️ Assumptions'!E29)^0)*(('⚙️ Assumptions'!E37+0.75*('⚙️ Assumptions'!E38-'⚙️ Assumptions'!E37))-'⚙️ Assumptions'!E40))*(1-'⚙️ Assumptions'!E43)+('⚙️ Assumptions'!E26*(1+'⚙️ Assumptions'!E27)^3*(1+'⚙️ Assumptions'!E28)^1*(1+'⚙️ Assumptions'!E29)^0)*'⚙️ Assumptions'!E40-('⚙️ Assumptions'!E26*(1+'⚙️ Assumptions'!E27)^3*(1+'⚙️ Assumptions'!E28)^1*(1+'⚙️ Assumptions'!E29)^0)*'⚙️ Assumptions'!E48-(('⚙️ Assumptions'!E26*(1+'⚙️ Assumptions'!E27)^3*(1+'⚙️ Assumptions'!E28)^1*(1+'⚙️ Assumptions'!E29)^0)-('⚙️ Assumptions'!E26*(1+'⚙️ Assumptions'!E27)^3*(1+'⚙️ Assumptions'!E28)^0*(1+'⚙️ Assumptions'!E29)^0))*'⚙️ Assumptions'!E50-('⚙️ Assumptions'!E26*(1+'⚙️ Assumptions'!E27)^3*(1+'⚙️ Assumptions'!E28)^1*(1+'⚙️ Assumptions'!E29)^0)*'⚙️ Assumptions'!E52)</f>
        <v>132799.66972773906</v>
      </c>
      <c r="L54" s="140">
        <f>((('⚙️ Assumptions'!E26*(1+'⚙️ Assumptions'!E27)^3*(1+'⚙️ Assumptions'!E28)^2*(1+'⚙️ Assumptions'!E29)^0)*(('⚙️ Assumptions'!E37+1*('⚙️ Assumptions'!E38-'⚙️ Assumptions'!E37))-'⚙️ Assumptions'!E40))*(1-'⚙️ Assumptions'!E43)+('⚙️ Assumptions'!E26*(1+'⚙️ Assumptions'!E27)^3*(1+'⚙️ Assumptions'!E28)^2*(1+'⚙️ Assumptions'!E29)^0)*'⚙️ Assumptions'!E40-('⚙️ Assumptions'!E26*(1+'⚙️ Assumptions'!E27)^3*(1+'⚙️ Assumptions'!E28)^2*(1+'⚙️ Assumptions'!E29)^0)*'⚙️ Assumptions'!E48-(('⚙️ Assumptions'!E26*(1+'⚙️ Assumptions'!E27)^3*(1+'⚙️ Assumptions'!E28)^2*(1+'⚙️ Assumptions'!E29)^0)-('⚙️ Assumptions'!E26*(1+'⚙️ Assumptions'!E27)^3*(1+'⚙️ Assumptions'!E28)^1*(1+'⚙️ Assumptions'!E29)^0))*'⚙️ Assumptions'!E50-('⚙️ Assumptions'!E26*(1+'⚙️ Assumptions'!E27)^3*(1+'⚙️ Assumptions'!E28)^2*(1+'⚙️ Assumptions'!E29)^0)*'⚙️ Assumptions'!E52)</f>
        <v>165091.98218679105</v>
      </c>
      <c r="M54" s="140">
        <f>((('⚙️ Assumptions'!E26*(1+'⚙️ Assumptions'!E27)^3*(1+'⚙️ Assumptions'!E28)^3*(1+'⚙️ Assumptions'!E29)^0)*(('⚙️ Assumptions'!E38+0.2*('⚙️ Assumptions'!E39-'⚙️ Assumptions'!E38))-'⚙️ Assumptions'!E40))*(1-'⚙️ Assumptions'!E43)+('⚙️ Assumptions'!E26*(1+'⚙️ Assumptions'!E27)^3*(1+'⚙️ Assumptions'!E28)^3*(1+'⚙️ Assumptions'!E29)^0)*'⚙️ Assumptions'!E40-('⚙️ Assumptions'!E26*(1+'⚙️ Assumptions'!E27)^3*(1+'⚙️ Assumptions'!E28)^3*(1+'⚙️ Assumptions'!E29)^0)*'⚙️ Assumptions'!E48-(('⚙️ Assumptions'!E26*(1+'⚙️ Assumptions'!E27)^3*(1+'⚙️ Assumptions'!E28)^3*(1+'⚙️ Assumptions'!E29)^0)-('⚙️ Assumptions'!E26*(1+'⚙️ Assumptions'!E27)^3*(1+'⚙️ Assumptions'!E28)^2*(1+'⚙️ Assumptions'!E29)^0))*'⚙️ Assumptions'!E50-('⚙️ Assumptions'!E26*(1+'⚙️ Assumptions'!E27)^3*(1+'⚙️ Assumptions'!E28)^3*(1+'⚙️ Assumptions'!E29)^0)*'⚙️ Assumptions'!E52)</f>
        <v>193346.75650936336</v>
      </c>
      <c r="N54" s="140">
        <f>((('⚙️ Assumptions'!E26*(1+'⚙️ Assumptions'!E27)^3*(1+'⚙️ Assumptions'!E28)^4*(1+'⚙️ Assumptions'!E29)^0)*(('⚙️ Assumptions'!E38+0.4*('⚙️ Assumptions'!E39-'⚙️ Assumptions'!E38))-'⚙️ Assumptions'!E40))*(1-'⚙️ Assumptions'!E43)+('⚙️ Assumptions'!E26*(1+'⚙️ Assumptions'!E27)^3*(1+'⚙️ Assumptions'!E28)^4*(1+'⚙️ Assumptions'!E29)^0)*'⚙️ Assumptions'!E40-('⚙️ Assumptions'!E26*(1+'⚙️ Assumptions'!E27)^3*(1+'⚙️ Assumptions'!E28)^4*(1+'⚙️ Assumptions'!E29)^0)*'⚙️ Assumptions'!E48-(('⚙️ Assumptions'!E26*(1+'⚙️ Assumptions'!E27)^3*(1+'⚙️ Assumptions'!E28)^4*(1+'⚙️ Assumptions'!E29)^0)-('⚙️ Assumptions'!E26*(1+'⚙️ Assumptions'!E27)^3*(1+'⚙️ Assumptions'!E28)^3*(1+'⚙️ Assumptions'!E29)^0))*'⚙️ Assumptions'!E50-('⚙️ Assumptions'!E26*(1+'⚙️ Assumptions'!E27)^3*(1+'⚙️ Assumptions'!E28)^4*(1+'⚙️ Assumptions'!E29)^0)*'⚙️ Assumptions'!E52)</f>
        <v>226157.71765684785</v>
      </c>
      <c r="O54" s="140">
        <f>((('⚙️ Assumptions'!E26*(1+'⚙️ Assumptions'!E27)^3*(1+'⚙️ Assumptions'!E28)^4*(1+'⚙️ Assumptions'!E29)^1)*(('⚙️ Assumptions'!E38+0.6*('⚙️ Assumptions'!E39-'⚙️ Assumptions'!E38))-'⚙️ Assumptions'!E40))*(1-'⚙️ Assumptions'!E43)+('⚙️ Assumptions'!E26*(1+'⚙️ Assumptions'!E27)^3*(1+'⚙️ Assumptions'!E28)^4*(1+'⚙️ Assumptions'!E29)^1)*'⚙️ Assumptions'!E40-('⚙️ Assumptions'!E26*(1+'⚙️ Assumptions'!E27)^3*(1+'⚙️ Assumptions'!E28)^4*(1+'⚙️ Assumptions'!E29)^1)*'⚙️ Assumptions'!E49-(('⚙️ Assumptions'!E26*(1+'⚙️ Assumptions'!E27)^3*(1+'⚙️ Assumptions'!E28)^4*(1+'⚙️ Assumptions'!E29)^1)-('⚙️ Assumptions'!E26*(1+'⚙️ Assumptions'!E27)^3*(1+'⚙️ Assumptions'!E28)^4*(1+'⚙️ Assumptions'!E29)^0))*'⚙️ Assumptions'!E50-('⚙️ Assumptions'!E26*(1+'⚙️ Assumptions'!E27)^3*(1+'⚙️ Assumptions'!E28)^4*(1+'⚙️ Assumptions'!E29)^1)*'⚙️ Assumptions'!E52)</f>
        <v>323308.18358937377</v>
      </c>
      <c r="P54" s="140">
        <f>((('⚙️ Assumptions'!E26*(1+'⚙️ Assumptions'!E27)^3*(1+'⚙️ Assumptions'!E28)^4*(1+'⚙️ Assumptions'!E29)^2)*(('⚙️ Assumptions'!E38+0.8*('⚙️ Assumptions'!E39-'⚙️ Assumptions'!E38))-'⚙️ Assumptions'!E40))*(1-'⚙️ Assumptions'!E43)+('⚙️ Assumptions'!E26*(1+'⚙️ Assumptions'!E27)^3*(1+'⚙️ Assumptions'!E28)^4*(1+'⚙️ Assumptions'!E29)^2)*'⚙️ Assumptions'!E40-('⚙️ Assumptions'!E26*(1+'⚙️ Assumptions'!E27)^3*(1+'⚙️ Assumptions'!E28)^4*(1+'⚙️ Assumptions'!E29)^2)*'⚙️ Assumptions'!E49-(('⚙️ Assumptions'!E26*(1+'⚙️ Assumptions'!E27)^3*(1+'⚙️ Assumptions'!E28)^4*(1+'⚙️ Assumptions'!E29)^2)-('⚙️ Assumptions'!E26*(1+'⚙️ Assumptions'!E27)^3*(1+'⚙️ Assumptions'!E28)^4*(1+'⚙️ Assumptions'!E29)^1))*'⚙️ Assumptions'!E50-('⚙️ Assumptions'!E26*(1+'⚙️ Assumptions'!E27)^3*(1+'⚙️ Assumptions'!E28)^4*(1+'⚙️ Assumptions'!E29)^2)*'⚙️ Assumptions'!E52)</f>
        <v>358125.98797592171</v>
      </c>
      <c r="Q54" s="140">
        <f>((('⚙️ Assumptions'!E26*(1+'⚙️ Assumptions'!E27)^3*(1+'⚙️ Assumptions'!E28)^4*(1+'⚙️ Assumptions'!E29)^3)*(('⚙️ Assumptions'!E38+1*('⚙️ Assumptions'!E39-'⚙️ Assumptions'!E38))-'⚙️ Assumptions'!E40))*(1-'⚙️ Assumptions'!E43)+('⚙️ Assumptions'!E26*(1+'⚙️ Assumptions'!E27)^3*(1+'⚙️ Assumptions'!E28)^4*(1+'⚙️ Assumptions'!E29)^3)*'⚙️ Assumptions'!E40-('⚙️ Assumptions'!E26*(1+'⚙️ Assumptions'!E27)^3*(1+'⚙️ Assumptions'!E28)^4*(1+'⚙️ Assumptions'!E29)^3)*'⚙️ Assumptions'!E49-(('⚙️ Assumptions'!E26*(1+'⚙️ Assumptions'!E27)^3*(1+'⚙️ Assumptions'!E28)^4*(1+'⚙️ Assumptions'!E29)^3)-('⚙️ Assumptions'!E26*(1+'⚙️ Assumptions'!E27)^3*(1+'⚙️ Assumptions'!E28)^4*(1+'⚙️ Assumptions'!E29)^2))*'⚙️ Assumptions'!E50-('⚙️ Assumptions'!E26*(1+'⚙️ Assumptions'!E27)^3*(1+'⚙️ Assumptions'!E28)^4*(1+'⚙️ Assumptions'!E29)^3)*'⚙️ Assumptions'!E52)</f>
        <v>396445.46868934541</v>
      </c>
      <c r="R54" s="140">
        <f>(('⚙️ Assumptions'!E26*(1+'⚙️ Assumptions'!E27)^3*(1+'⚙️ Assumptions'!E28)^4*(1+'⚙️ Assumptions'!E29)^3)*(1+'⚙️ Assumptions'!E69))*('⚙️ Assumptions'!E70-'⚙️ Assumptions'!E40)*(1-'⚙️ Assumptions'!E43)+(('⚙️ Assumptions'!E26*(1+'⚙️ Assumptions'!E27)^3*(1+'⚙️ Assumptions'!E28)^4*(1+'⚙️ Assumptions'!E29)^3)*(1+'⚙️ Assumptions'!E69))*'⚙️ Assumptions'!E40-(('⚙️ Assumptions'!E26*(1+'⚙️ Assumptions'!E27)^3*(1+'⚙️ Assumptions'!E28)^4*(1+'⚙️ Assumptions'!E29)^3)*(1+'⚙️ Assumptions'!E69))*'⚙️ Assumptions'!E71-((('⚙️ Assumptions'!E26*(1+'⚙️ Assumptions'!E27)^3*(1+'⚙️ Assumptions'!E28)^4*(1+'⚙️ Assumptions'!E29)^3)*(1+'⚙️ Assumptions'!E69))-('⚙️ Assumptions'!E26*(1+'⚙️ Assumptions'!E27)^3*(1+'⚙️ Assumptions'!E28)^4*(1+'⚙️ Assumptions'!E29)^3))*'⚙️ Assumptions'!E50-(('⚙️ Assumptions'!E26*(1+'⚙️ Assumptions'!E27)^3*(1+'⚙️ Assumptions'!E28)^4*(1+'⚙️ Assumptions'!E29)^3)*(1+'⚙️ Assumptions'!E69))*'⚙️ Assumptions'!E52</f>
        <v>385911.71683984535</v>
      </c>
    </row>
    <row r="55" spans="2:18" ht="15.75" hidden="1" customHeight="1" x14ac:dyDescent="0.5">
      <c r="B55" s="3"/>
      <c r="C55" s="3"/>
      <c r="D55" s="3"/>
      <c r="E55" s="3"/>
      <c r="F55" s="3"/>
      <c r="G55" s="3"/>
      <c r="H55" s="3"/>
      <c r="I55" s="3"/>
      <c r="J55" s="3"/>
      <c r="K55" s="3"/>
      <c r="L55" s="3"/>
      <c r="M55" s="3"/>
      <c r="N55" s="3"/>
      <c r="O55" s="3"/>
      <c r="P55" s="3"/>
      <c r="Q55" s="3"/>
      <c r="R55" s="3"/>
    </row>
    <row r="56" spans="2:18" ht="15.75" hidden="1" customHeight="1" x14ac:dyDescent="0.5">
      <c r="B56" s="139" t="s">
        <v>612</v>
      </c>
      <c r="C56" s="141">
        <f>IFERROR(((SUMPRODUCT(H52:Q52/(1+'⚙️ Assumptions'!C66)^IF('⚙️ Assumptions'!$C$90="Y",{0.5,1.5,2.5,3.5,4.5,5.5,6.5,7.5,8.5,9.5},{1,2,3,4,5,6,7,8,9,10})))+((IF('⚙️ Assumptions'!C73="Gordon Growth",(R52)*(1+'⚙️ Assumptions'!C69)/('⚙️ Assumptions'!C66-'⚙️ Assumptions'!C69),((('⚙️ Assumptions'!C26*(1+'⚙️ Assumptions'!C27)^3*(1+'⚙️ Assumptions'!C28)^4*(1+'⚙️ Assumptions'!C29)^3)*(1+'⚙️ Assumptions'!C69))*'⚙️ Assumptions'!C70)*'⚙️ Assumptions'!C74))/(1+'⚙️ Assumptions'!C66)^10)+('⚙️ Assumptions'!$C$77+'⚙️ Assumptions'!$C$78+'⚙️ Assumptions'!$C$83-'⚙️ Assumptions'!$C$79-'⚙️ Assumptions'!$C$80-'⚙️ Assumptions'!$C$81-'⚙️ Assumptions'!$C$82-'⚙️ Assumptions'!$C$84-'⚙️ Assumptions'!$C$85))/'⚙️ Assumptions'!$C$22,0)</f>
        <v>183.77816669798423</v>
      </c>
      <c r="D56" s="3"/>
      <c r="E56" s="3"/>
      <c r="F56" s="3"/>
      <c r="G56" s="3"/>
      <c r="H56" s="3"/>
      <c r="I56" s="3"/>
      <c r="J56" s="3"/>
      <c r="K56" s="3"/>
      <c r="L56" s="3"/>
      <c r="M56" s="3"/>
      <c r="N56" s="3"/>
      <c r="O56" s="3"/>
      <c r="P56" s="3"/>
      <c r="Q56" s="3"/>
      <c r="R56" s="3"/>
    </row>
    <row r="57" spans="2:18" ht="15.75" hidden="1" customHeight="1" x14ac:dyDescent="0.5">
      <c r="B57" s="139" t="s">
        <v>613</v>
      </c>
      <c r="C57" s="141">
        <f>IFERROR(((SUMPRODUCT(H53:Q53/(1+'⚙️ Assumptions'!D66)^IF('⚙️ Assumptions'!$C$90="Y",{0.5,1.5,2.5,3.5,4.5,5.5,6.5,7.5,8.5,9.5},{1,2,3,4,5,6,7,8,9,10})))+((IF('⚙️ Assumptions'!D73="Gordon Growth",(R53)*(1+'⚙️ Assumptions'!D69)/('⚙️ Assumptions'!D66-'⚙️ Assumptions'!D69),((('⚙️ Assumptions'!D26*(1+'⚙️ Assumptions'!D27)^3*(1+'⚙️ Assumptions'!D28)^4*(1+'⚙️ Assumptions'!D29)^3)*(1+'⚙️ Assumptions'!D69))*'⚙️ Assumptions'!D70)*'⚙️ Assumptions'!D74))/(1+'⚙️ Assumptions'!D66)^10)+('⚙️ Assumptions'!$C$77+'⚙️ Assumptions'!$C$78+'⚙️ Assumptions'!$C$83-'⚙️ Assumptions'!$C$79-'⚙️ Assumptions'!$C$80-'⚙️ Assumptions'!$C$81-'⚙️ Assumptions'!$C$82-'⚙️ Assumptions'!$C$84-'⚙️ Assumptions'!$C$85))/'⚙️ Assumptions'!$C$22,0)</f>
        <v>47.406977158339579</v>
      </c>
      <c r="D57" s="3"/>
      <c r="E57" s="3"/>
      <c r="F57" s="3"/>
      <c r="G57" s="3"/>
      <c r="H57" s="3"/>
      <c r="I57" s="3"/>
      <c r="J57" s="3"/>
      <c r="K57" s="3"/>
      <c r="L57" s="3"/>
      <c r="M57" s="3"/>
      <c r="N57" s="3"/>
      <c r="O57" s="3"/>
      <c r="P57" s="3"/>
      <c r="Q57" s="3"/>
      <c r="R57" s="3"/>
    </row>
    <row r="58" spans="2:18" ht="15.75" hidden="1" customHeight="1" x14ac:dyDescent="0.5">
      <c r="B58" s="139" t="s">
        <v>614</v>
      </c>
      <c r="C58" s="141">
        <f>IFERROR(((SUMPRODUCT(H54:Q54/(1+'⚙️ Assumptions'!E66)^IF('⚙️ Assumptions'!$C$90="Y",{0.5,1.5,2.5,3.5,4.5,5.5,6.5,7.5,8.5,9.5},{1,2,3,4,5,6,7,8,9,10})))+((IF('⚙️ Assumptions'!E73="Gordon Growth",(R54)*(1+'⚙️ Assumptions'!E69)/('⚙️ Assumptions'!E66-'⚙️ Assumptions'!E69),((('⚙️ Assumptions'!E26*(1+'⚙️ Assumptions'!E27)^3*(1+'⚙️ Assumptions'!E28)^4*(1+'⚙️ Assumptions'!E29)^3)*(1+'⚙️ Assumptions'!E69))*'⚙️ Assumptions'!E70)*'⚙️ Assumptions'!E74))/(1+'⚙️ Assumptions'!E66)^10)+('⚙️ Assumptions'!$C$77+'⚙️ Assumptions'!$C$78+'⚙️ Assumptions'!$C$83-'⚙️ Assumptions'!$C$79-'⚙️ Assumptions'!$C$80-'⚙️ Assumptions'!$C$81-'⚙️ Assumptions'!$C$82-'⚙️ Assumptions'!$C$84-'⚙️ Assumptions'!$C$85))/'⚙️ Assumptions'!$C$22,0)</f>
        <v>374.88474315588223</v>
      </c>
      <c r="D58" s="3"/>
      <c r="E58" s="3"/>
      <c r="F58" s="3"/>
      <c r="G58" s="3"/>
      <c r="H58" s="3"/>
      <c r="I58" s="3"/>
      <c r="J58" s="3"/>
      <c r="K58" s="3"/>
      <c r="L58" s="3"/>
      <c r="M58" s="3"/>
      <c r="N58" s="3"/>
      <c r="O58" s="3"/>
      <c r="P58" s="3"/>
      <c r="Q58" s="3"/>
      <c r="R58" s="3"/>
    </row>
    <row r="59" spans="2:18" hidden="1" x14ac:dyDescent="0.45"/>
  </sheetData>
  <mergeCells count="14">
    <mergeCell ref="B2:R2"/>
    <mergeCell ref="B50:G50"/>
    <mergeCell ref="B36:G36"/>
    <mergeCell ref="C41:G41"/>
    <mergeCell ref="C42:G42"/>
    <mergeCell ref="C37:G37"/>
    <mergeCell ref="B13:C13"/>
    <mergeCell ref="C40:G40"/>
    <mergeCell ref="C39:G39"/>
    <mergeCell ref="B5:C5"/>
    <mergeCell ref="B25:G25"/>
    <mergeCell ref="F19:G19"/>
    <mergeCell ref="F5:G5"/>
    <mergeCell ref="C38:G38"/>
  </mergeCells>
  <conditionalFormatting sqref="G21">
    <cfRule type="expression" dxfId="2" priority="1">
      <formula>G21&lt;&gt;"OK"</formula>
    </cfRule>
  </conditionalFormatting>
  <conditionalFormatting sqref="G22">
    <cfRule type="cellIs" dxfId="1" priority="2" operator="not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B2:F90"/>
  <sheetViews>
    <sheetView showGridLines="0" tabSelected="1" zoomScale="85" zoomScaleNormal="85" workbookViewId="0">
      <pane xSplit="1" ySplit="5" topLeftCell="B84" activePane="bottomRight" state="frozen"/>
      <selection pane="topRight"/>
      <selection pane="bottomLeft"/>
      <selection pane="bottomRight" activeCell="D104" sqref="D104"/>
    </sheetView>
  </sheetViews>
  <sheetFormatPr defaultRowHeight="14.25" x14ac:dyDescent="0.45"/>
  <cols>
    <col min="1" max="1" width="2.3984375" customWidth="1"/>
    <col min="2" max="2" width="49.86328125" customWidth="1"/>
    <col min="3" max="5" width="23.1328125" customWidth="1"/>
    <col min="6" max="6" width="49.86328125" customWidth="1"/>
  </cols>
  <sheetData>
    <row r="2" spans="2:6" ht="44.1" customHeight="1" x14ac:dyDescent="0.45">
      <c r="B2" s="184" t="s">
        <v>615</v>
      </c>
      <c r="C2" s="185"/>
      <c r="D2" s="185"/>
      <c r="E2" s="185"/>
      <c r="F2" s="185"/>
    </row>
    <row r="3" spans="2:6" ht="26.1" customHeight="1" x14ac:dyDescent="0.45">
      <c r="B3" s="243" t="s">
        <v>616</v>
      </c>
      <c r="C3" s="185"/>
      <c r="D3" s="185"/>
      <c r="E3" s="185"/>
      <c r="F3" s="185"/>
    </row>
    <row r="4" spans="2:6" ht="15.75" customHeight="1" x14ac:dyDescent="0.5">
      <c r="B4" s="3"/>
      <c r="C4" s="3"/>
      <c r="D4" s="3"/>
      <c r="E4" s="3"/>
      <c r="F4" s="3"/>
    </row>
    <row r="5" spans="2:6" ht="28.15" customHeight="1" x14ac:dyDescent="0.45">
      <c r="B5" s="44" t="s">
        <v>617</v>
      </c>
      <c r="C5" s="43" t="s">
        <v>618</v>
      </c>
      <c r="D5" s="43" t="s">
        <v>619</v>
      </c>
      <c r="E5" s="43" t="s">
        <v>620</v>
      </c>
      <c r="F5" s="44" t="s">
        <v>621</v>
      </c>
    </row>
    <row r="6" spans="2:6" ht="15.75" customHeight="1" x14ac:dyDescent="0.5">
      <c r="B6" s="3"/>
      <c r="C6" s="3"/>
      <c r="D6" s="3"/>
      <c r="E6" s="3"/>
      <c r="F6" s="3"/>
    </row>
    <row r="7" spans="2:6" ht="28.15" customHeight="1" x14ac:dyDescent="0.45">
      <c r="B7" s="242" t="s">
        <v>551</v>
      </c>
      <c r="C7" s="185"/>
      <c r="D7" s="185"/>
      <c r="E7" s="185"/>
      <c r="F7" s="185"/>
    </row>
    <row r="8" spans="2:6" ht="24" customHeight="1" x14ac:dyDescent="0.5">
      <c r="B8" s="45" t="s">
        <v>197</v>
      </c>
      <c r="C8" s="60" t="s">
        <v>622</v>
      </c>
      <c r="D8" s="22"/>
      <c r="E8" s="22"/>
      <c r="F8" s="46"/>
    </row>
    <row r="9" spans="2:6" ht="24" customHeight="1" x14ac:dyDescent="0.5">
      <c r="B9" s="47" t="s">
        <v>205</v>
      </c>
      <c r="C9" s="61" t="s">
        <v>623</v>
      </c>
      <c r="D9" s="21"/>
      <c r="E9" s="21"/>
      <c r="F9" s="48"/>
    </row>
    <row r="10" spans="2:6" ht="24" customHeight="1" x14ac:dyDescent="0.5">
      <c r="B10" s="45" t="s">
        <v>555</v>
      </c>
      <c r="C10" s="60" t="s">
        <v>624</v>
      </c>
      <c r="D10" s="22"/>
      <c r="E10" s="22"/>
      <c r="F10" s="46"/>
    </row>
    <row r="11" spans="2:6" ht="24" customHeight="1" x14ac:dyDescent="0.5">
      <c r="B11" s="47" t="s">
        <v>625</v>
      </c>
      <c r="C11" s="61" t="s">
        <v>626</v>
      </c>
      <c r="D11" s="21"/>
      <c r="E11" s="21"/>
      <c r="F11" s="48"/>
    </row>
    <row r="12" spans="2:6" ht="24" customHeight="1" x14ac:dyDescent="0.5">
      <c r="B12" s="45" t="s">
        <v>229</v>
      </c>
      <c r="C12" s="62">
        <v>46204</v>
      </c>
      <c r="D12" s="22"/>
      <c r="E12" s="22"/>
      <c r="F12" s="46"/>
    </row>
    <row r="13" spans="2:6" ht="24" customHeight="1" x14ac:dyDescent="0.5">
      <c r="B13" s="47" t="s">
        <v>559</v>
      </c>
      <c r="C13" s="61" t="s">
        <v>627</v>
      </c>
      <c r="D13" s="21"/>
      <c r="E13" s="21"/>
      <c r="F13" s="48"/>
    </row>
    <row r="14" spans="2:6" ht="15.75" customHeight="1" x14ac:dyDescent="0.5">
      <c r="B14" s="3"/>
      <c r="C14" s="3"/>
      <c r="D14" s="3"/>
      <c r="E14" s="3"/>
      <c r="F14" s="3"/>
    </row>
    <row r="15" spans="2:6" ht="28.15" customHeight="1" x14ac:dyDescent="0.45">
      <c r="B15" s="242" t="s">
        <v>628</v>
      </c>
      <c r="C15" s="185"/>
      <c r="D15" s="185"/>
      <c r="E15" s="185"/>
      <c r="F15" s="185"/>
    </row>
    <row r="16" spans="2:6" ht="24" customHeight="1" x14ac:dyDescent="0.5">
      <c r="B16" s="45" t="s">
        <v>565</v>
      </c>
      <c r="C16" s="63">
        <v>241.75</v>
      </c>
      <c r="D16" s="22"/>
      <c r="E16" s="22"/>
      <c r="F16" s="49" t="s">
        <v>629</v>
      </c>
    </row>
    <row r="17" spans="2:6" ht="24" customHeight="1" x14ac:dyDescent="0.5">
      <c r="B17" s="47" t="s">
        <v>630</v>
      </c>
      <c r="C17" s="64">
        <v>278.56</v>
      </c>
      <c r="D17" s="21"/>
      <c r="E17" s="21"/>
      <c r="F17" s="48"/>
    </row>
    <row r="18" spans="2:6" ht="24" customHeight="1" x14ac:dyDescent="0.5">
      <c r="B18" s="45" t="s">
        <v>631</v>
      </c>
      <c r="C18" s="63">
        <v>196</v>
      </c>
      <c r="D18" s="22"/>
      <c r="E18" s="22"/>
      <c r="F18" s="46"/>
    </row>
    <row r="19" spans="2:6" ht="24" customHeight="1" x14ac:dyDescent="0.5">
      <c r="B19" s="47" t="s">
        <v>632</v>
      </c>
      <c r="C19" s="65">
        <v>10731</v>
      </c>
      <c r="D19" s="21"/>
      <c r="E19" s="21"/>
      <c r="F19" s="48"/>
    </row>
    <row r="20" spans="2:6" ht="24" customHeight="1" x14ac:dyDescent="0.5">
      <c r="B20" s="45" t="s">
        <v>633</v>
      </c>
      <c r="C20" s="66">
        <v>222</v>
      </c>
      <c r="D20" s="22"/>
      <c r="E20" s="22"/>
      <c r="F20" s="49" t="s">
        <v>634</v>
      </c>
    </row>
    <row r="21" spans="2:6" ht="24" customHeight="1" x14ac:dyDescent="0.5">
      <c r="B21" s="47" t="s">
        <v>635</v>
      </c>
      <c r="C21" s="65">
        <v>0</v>
      </c>
      <c r="D21" s="21"/>
      <c r="E21" s="21"/>
      <c r="F21" s="50" t="s">
        <v>636</v>
      </c>
    </row>
    <row r="22" spans="2:6" ht="24" customHeight="1" x14ac:dyDescent="0.5">
      <c r="B22" s="45" t="s">
        <v>637</v>
      </c>
      <c r="C22" s="67">
        <f>C19+C20-C21</f>
        <v>10953</v>
      </c>
      <c r="D22" s="22"/>
      <c r="E22" s="22"/>
      <c r="F22" s="46"/>
    </row>
    <row r="23" spans="2:6" ht="24" customHeight="1" x14ac:dyDescent="0.5">
      <c r="B23" s="47" t="s">
        <v>638</v>
      </c>
      <c r="C23" s="68">
        <f>C22*C16</f>
        <v>2647887.75</v>
      </c>
      <c r="D23" s="21"/>
      <c r="E23" s="21"/>
      <c r="F23" s="48"/>
    </row>
    <row r="24" spans="2:6" ht="24" customHeight="1" x14ac:dyDescent="0.5">
      <c r="B24" s="53"/>
      <c r="C24" s="22"/>
      <c r="D24" s="22"/>
      <c r="E24" s="22"/>
      <c r="F24" s="46"/>
    </row>
    <row r="25" spans="2:6" ht="28.15" customHeight="1" x14ac:dyDescent="0.45">
      <c r="B25" s="242" t="s">
        <v>639</v>
      </c>
      <c r="C25" s="185"/>
      <c r="D25" s="185"/>
      <c r="E25" s="185"/>
      <c r="F25" s="185"/>
    </row>
    <row r="26" spans="2:6" ht="24" customHeight="1" x14ac:dyDescent="0.45">
      <c r="B26" s="45" t="s">
        <v>640</v>
      </c>
      <c r="C26" s="66">
        <v>716924</v>
      </c>
      <c r="D26" s="66">
        <v>716924</v>
      </c>
      <c r="E26" s="66">
        <v>716924</v>
      </c>
      <c r="F26" s="49" t="s">
        <v>641</v>
      </c>
    </row>
    <row r="27" spans="2:6" ht="24" customHeight="1" x14ac:dyDescent="0.45">
      <c r="B27" s="47" t="s">
        <v>642</v>
      </c>
      <c r="C27" s="69">
        <v>0.14000000000000001</v>
      </c>
      <c r="D27" s="69">
        <v>0.1</v>
      </c>
      <c r="E27" s="69">
        <v>0.17</v>
      </c>
      <c r="F27" s="50" t="s">
        <v>643</v>
      </c>
    </row>
    <row r="28" spans="2:6" ht="24" customHeight="1" x14ac:dyDescent="0.45">
      <c r="B28" s="45" t="s">
        <v>644</v>
      </c>
      <c r="C28" s="70">
        <v>0.1</v>
      </c>
      <c r="D28" s="70">
        <v>7.0000000000000007E-2</v>
      </c>
      <c r="E28" s="70">
        <v>0.13</v>
      </c>
      <c r="F28" s="49" t="s">
        <v>645</v>
      </c>
    </row>
    <row r="29" spans="2:6" ht="24" customHeight="1" x14ac:dyDescent="0.45">
      <c r="B29" s="47" t="s">
        <v>646</v>
      </c>
      <c r="C29" s="69">
        <v>0.06</v>
      </c>
      <c r="D29" s="69">
        <v>0.04</v>
      </c>
      <c r="E29" s="69">
        <v>0.08</v>
      </c>
      <c r="F29" s="50" t="s">
        <v>647</v>
      </c>
    </row>
    <row r="30" spans="2:6" ht="24" customHeight="1" x14ac:dyDescent="0.45">
      <c r="B30" s="45" t="s">
        <v>648</v>
      </c>
      <c r="C30" s="70">
        <v>0.41</v>
      </c>
      <c r="D30" s="70">
        <v>0.41</v>
      </c>
      <c r="E30" s="70">
        <v>0.41</v>
      </c>
      <c r="F30" s="49" t="s">
        <v>649</v>
      </c>
    </row>
    <row r="31" spans="2:6" ht="24" customHeight="1" x14ac:dyDescent="0.45">
      <c r="B31" s="47" t="s">
        <v>650</v>
      </c>
      <c r="C31" s="69">
        <v>0.59</v>
      </c>
      <c r="D31" s="69">
        <v>0.59</v>
      </c>
      <c r="E31" s="69">
        <v>0.59</v>
      </c>
      <c r="F31" s="50" t="s">
        <v>649</v>
      </c>
    </row>
    <row r="32" spans="2:6" ht="24" customHeight="1" x14ac:dyDescent="0.5">
      <c r="B32" s="53"/>
      <c r="C32" s="22"/>
      <c r="D32" s="22"/>
      <c r="E32" s="22"/>
      <c r="F32" s="46"/>
    </row>
    <row r="33" spans="2:6" ht="28.15" customHeight="1" x14ac:dyDescent="0.45">
      <c r="B33" s="242" t="s">
        <v>651</v>
      </c>
      <c r="C33" s="185"/>
      <c r="D33" s="185"/>
      <c r="E33" s="185"/>
      <c r="F33" s="185"/>
    </row>
    <row r="34" spans="2:6" ht="24" customHeight="1" x14ac:dyDescent="0.45">
      <c r="B34" s="45" t="s">
        <v>652</v>
      </c>
      <c r="C34" s="70">
        <v>0.51</v>
      </c>
      <c r="D34" s="70">
        <v>0.49</v>
      </c>
      <c r="E34" s="70">
        <v>0.52</v>
      </c>
      <c r="F34" s="49"/>
    </row>
    <row r="35" spans="2:6" ht="24" customHeight="1" x14ac:dyDescent="0.45">
      <c r="B35" s="47" t="s">
        <v>653</v>
      </c>
      <c r="C35" s="69">
        <v>0.53</v>
      </c>
      <c r="D35" s="69">
        <v>0.5</v>
      </c>
      <c r="E35" s="69">
        <v>0.55000000000000004</v>
      </c>
      <c r="F35" s="50"/>
    </row>
    <row r="36" spans="2:6" ht="24" customHeight="1" x14ac:dyDescent="0.45">
      <c r="B36" s="45" t="s">
        <v>654</v>
      </c>
      <c r="C36" s="70">
        <v>0.55000000000000004</v>
      </c>
      <c r="D36" s="70">
        <v>0.51</v>
      </c>
      <c r="E36" s="70">
        <v>0.57999999999999996</v>
      </c>
      <c r="F36" s="49" t="s">
        <v>655</v>
      </c>
    </row>
    <row r="37" spans="2:6" ht="24" customHeight="1" x14ac:dyDescent="0.45">
      <c r="B37" s="47" t="s">
        <v>656</v>
      </c>
      <c r="C37" s="69">
        <v>0.215</v>
      </c>
      <c r="D37" s="69">
        <v>0.20499999999999999</v>
      </c>
      <c r="E37" s="69">
        <v>0.22500000000000001</v>
      </c>
      <c r="F37" s="50"/>
    </row>
    <row r="38" spans="2:6" ht="24" customHeight="1" x14ac:dyDescent="0.45">
      <c r="B38" s="45" t="s">
        <v>657</v>
      </c>
      <c r="C38" s="70">
        <v>0.25</v>
      </c>
      <c r="D38" s="70">
        <v>0.22</v>
      </c>
      <c r="E38" s="70">
        <v>0.27500000000000002</v>
      </c>
      <c r="F38" s="49"/>
    </row>
    <row r="39" spans="2:6" ht="24" customHeight="1" x14ac:dyDescent="0.45">
      <c r="B39" s="47" t="s">
        <v>658</v>
      </c>
      <c r="C39" s="69">
        <v>0.27</v>
      </c>
      <c r="D39" s="69">
        <v>0.23</v>
      </c>
      <c r="E39" s="69">
        <v>0.3</v>
      </c>
      <c r="F39" s="50" t="s">
        <v>659</v>
      </c>
    </row>
    <row r="40" spans="2:6" ht="24" customHeight="1" x14ac:dyDescent="0.45">
      <c r="B40" s="45" t="s">
        <v>358</v>
      </c>
      <c r="C40" s="70">
        <v>0.1</v>
      </c>
      <c r="D40" s="70">
        <v>0.105</v>
      </c>
      <c r="E40" s="70">
        <v>9.5000000000000001E-2</v>
      </c>
      <c r="F40" s="49"/>
    </row>
    <row r="41" spans="2:6" ht="24" customHeight="1" x14ac:dyDescent="0.45">
      <c r="B41" s="47" t="s">
        <v>660</v>
      </c>
      <c r="C41" s="69">
        <v>2.7E-2</v>
      </c>
      <c r="D41" s="69">
        <v>0.03</v>
      </c>
      <c r="E41" s="69">
        <v>2.5000000000000001E-2</v>
      </c>
      <c r="F41" s="50" t="s">
        <v>661</v>
      </c>
    </row>
    <row r="42" spans="2:6" ht="24" customHeight="1" x14ac:dyDescent="0.45">
      <c r="B42" s="45" t="s">
        <v>662</v>
      </c>
      <c r="C42" s="70">
        <v>0.04</v>
      </c>
      <c r="D42" s="70">
        <v>0.03</v>
      </c>
      <c r="E42" s="70">
        <v>4.4999999999999998E-2</v>
      </c>
      <c r="F42" s="49"/>
    </row>
    <row r="43" spans="2:6" ht="24" customHeight="1" x14ac:dyDescent="0.45">
      <c r="B43" s="47" t="s">
        <v>368</v>
      </c>
      <c r="C43" s="69">
        <v>0.21</v>
      </c>
      <c r="D43" s="69">
        <v>0.24</v>
      </c>
      <c r="E43" s="69">
        <v>0.18</v>
      </c>
      <c r="F43" s="50" t="s">
        <v>663</v>
      </c>
    </row>
    <row r="44" spans="2:6" ht="24" customHeight="1" x14ac:dyDescent="0.45">
      <c r="B44" s="45" t="s">
        <v>664</v>
      </c>
      <c r="C44" s="70">
        <v>0.01</v>
      </c>
      <c r="D44" s="70">
        <v>0</v>
      </c>
      <c r="E44" s="70">
        <v>0.02</v>
      </c>
      <c r="F44" s="49" t="s">
        <v>665</v>
      </c>
    </row>
    <row r="45" spans="2:6" ht="24" customHeight="1" x14ac:dyDescent="0.5">
      <c r="B45" s="54"/>
      <c r="C45" s="21"/>
      <c r="D45" s="21"/>
      <c r="E45" s="21"/>
      <c r="F45" s="48"/>
    </row>
    <row r="46" spans="2:6" ht="28.15" customHeight="1" x14ac:dyDescent="0.45">
      <c r="B46" s="242" t="s">
        <v>666</v>
      </c>
      <c r="C46" s="185"/>
      <c r="D46" s="185"/>
      <c r="E46" s="185"/>
      <c r="F46" s="185"/>
    </row>
    <row r="47" spans="2:6" ht="24" customHeight="1" x14ac:dyDescent="0.45">
      <c r="B47" s="47" t="s">
        <v>667</v>
      </c>
      <c r="C47" s="69">
        <v>0.2</v>
      </c>
      <c r="D47" s="69">
        <v>0.22</v>
      </c>
      <c r="E47" s="69">
        <v>0.18</v>
      </c>
      <c r="F47" s="50" t="s">
        <v>668</v>
      </c>
    </row>
    <row r="48" spans="2:6" ht="24" customHeight="1" x14ac:dyDescent="0.45">
      <c r="B48" s="45" t="s">
        <v>669</v>
      </c>
      <c r="C48" s="70">
        <v>0.125</v>
      </c>
      <c r="D48" s="70">
        <v>0.16</v>
      </c>
      <c r="E48" s="70">
        <v>0.12</v>
      </c>
      <c r="F48" s="49" t="s">
        <v>645</v>
      </c>
    </row>
    <row r="49" spans="2:6" ht="24" customHeight="1" x14ac:dyDescent="0.45">
      <c r="B49" s="47" t="s">
        <v>670</v>
      </c>
      <c r="C49" s="69">
        <v>0.1</v>
      </c>
      <c r="D49" s="69">
        <v>0.12</v>
      </c>
      <c r="E49" s="69">
        <v>8.5000000000000006E-2</v>
      </c>
      <c r="F49" s="50" t="s">
        <v>671</v>
      </c>
    </row>
    <row r="50" spans="2:6" ht="24" customHeight="1" x14ac:dyDescent="0.45">
      <c r="B50" s="45" t="s">
        <v>672</v>
      </c>
      <c r="C50" s="70">
        <v>0.03</v>
      </c>
      <c r="D50" s="70">
        <v>0.05</v>
      </c>
      <c r="E50" s="70">
        <v>0</v>
      </c>
      <c r="F50" s="49" t="s">
        <v>673</v>
      </c>
    </row>
    <row r="51" spans="2:6" ht="24" customHeight="1" x14ac:dyDescent="0.45">
      <c r="B51" s="47" t="s">
        <v>674</v>
      </c>
      <c r="C51" s="65">
        <v>-111951</v>
      </c>
      <c r="D51" s="65">
        <v>-111951</v>
      </c>
      <c r="E51" s="65">
        <v>-111951</v>
      </c>
      <c r="F51" s="50" t="s">
        <v>675</v>
      </c>
    </row>
    <row r="52" spans="2:6" ht="24" customHeight="1" x14ac:dyDescent="0.45">
      <c r="B52" s="45" t="s">
        <v>676</v>
      </c>
      <c r="C52" s="70">
        <v>5.0000000000000001E-3</v>
      </c>
      <c r="D52" s="70">
        <v>0</v>
      </c>
      <c r="E52" s="70">
        <v>0.01</v>
      </c>
      <c r="F52" s="49" t="s">
        <v>677</v>
      </c>
    </row>
    <row r="53" spans="2:6" ht="24" customHeight="1" x14ac:dyDescent="0.45">
      <c r="B53" s="47" t="s">
        <v>401</v>
      </c>
      <c r="C53" s="69">
        <v>0.3</v>
      </c>
      <c r="D53" s="69">
        <v>0.2</v>
      </c>
      <c r="E53" s="69">
        <v>0.4</v>
      </c>
      <c r="F53" s="50" t="s">
        <v>678</v>
      </c>
    </row>
    <row r="54" spans="2:6" ht="24" customHeight="1" x14ac:dyDescent="0.45">
      <c r="B54" s="45" t="s">
        <v>679</v>
      </c>
      <c r="C54" s="71">
        <v>0.94199999999999995</v>
      </c>
      <c r="D54" s="71">
        <v>1.341</v>
      </c>
      <c r="E54" s="71">
        <v>0.621</v>
      </c>
      <c r="F54" s="49" t="s">
        <v>680</v>
      </c>
    </row>
    <row r="55" spans="2:6" ht="28.15" customHeight="1" x14ac:dyDescent="0.45">
      <c r="B55" s="242" t="s">
        <v>681</v>
      </c>
      <c r="C55" s="185"/>
      <c r="D55" s="185"/>
      <c r="E55" s="185"/>
      <c r="F55" s="185"/>
    </row>
    <row r="56" spans="2:6" ht="24" customHeight="1" x14ac:dyDescent="0.45">
      <c r="B56" s="45" t="s">
        <v>682</v>
      </c>
      <c r="C56" s="72">
        <v>4.4499999999999998E-2</v>
      </c>
      <c r="D56" s="72">
        <v>4.4499999999999998E-2</v>
      </c>
      <c r="E56" s="72">
        <v>4.4499999999999998E-2</v>
      </c>
      <c r="F56" s="49" t="s">
        <v>683</v>
      </c>
    </row>
    <row r="57" spans="2:6" ht="24" customHeight="1" x14ac:dyDescent="0.45">
      <c r="B57" s="47" t="s">
        <v>91</v>
      </c>
      <c r="C57" s="73">
        <v>4.2299999999999997E-2</v>
      </c>
      <c r="D57" s="73">
        <v>4.5999999999999999E-2</v>
      </c>
      <c r="E57" s="73">
        <v>0.04</v>
      </c>
      <c r="F57" s="50" t="s">
        <v>684</v>
      </c>
    </row>
    <row r="58" spans="2:6" ht="24" customHeight="1" x14ac:dyDescent="0.45">
      <c r="B58" s="45" t="s">
        <v>420</v>
      </c>
      <c r="C58" s="74">
        <v>1.3</v>
      </c>
      <c r="D58" s="74">
        <v>1.45</v>
      </c>
      <c r="E58" s="74">
        <v>1.1499999999999999</v>
      </c>
      <c r="F58" s="49" t="s">
        <v>685</v>
      </c>
    </row>
    <row r="59" spans="2:6" ht="24" customHeight="1" x14ac:dyDescent="0.45">
      <c r="B59" s="47" t="s">
        <v>425</v>
      </c>
      <c r="C59" s="73">
        <v>0</v>
      </c>
      <c r="D59" s="73">
        <v>0</v>
      </c>
      <c r="E59" s="73">
        <v>0</v>
      </c>
      <c r="F59" s="50" t="s">
        <v>686</v>
      </c>
    </row>
    <row r="60" spans="2:6" ht="24" customHeight="1" x14ac:dyDescent="0.45">
      <c r="B60" s="45" t="s">
        <v>429</v>
      </c>
      <c r="C60" s="72">
        <v>0</v>
      </c>
      <c r="D60" s="72">
        <v>5.0000000000000001E-3</v>
      </c>
      <c r="E60" s="72">
        <v>0</v>
      </c>
      <c r="F60" s="49" t="s">
        <v>687</v>
      </c>
    </row>
    <row r="61" spans="2:6" ht="24" customHeight="1" x14ac:dyDescent="0.45">
      <c r="B61" s="47" t="s">
        <v>688</v>
      </c>
      <c r="C61" s="75">
        <f>C56+C58*C57+C59+C60</f>
        <v>9.9489999999999995E-2</v>
      </c>
      <c r="D61" s="75">
        <f>D56+D58*D57+D59+D60</f>
        <v>0.1162</v>
      </c>
      <c r="E61" s="75">
        <f>E56+E58*E57+E59+E60</f>
        <v>9.0499999999999997E-2</v>
      </c>
      <c r="F61" s="48"/>
    </row>
    <row r="62" spans="2:6" ht="24" customHeight="1" x14ac:dyDescent="0.45">
      <c r="B62" s="45" t="s">
        <v>689</v>
      </c>
      <c r="C62" s="72">
        <v>4.9000000000000002E-2</v>
      </c>
      <c r="D62" s="72">
        <v>5.2999999999999999E-2</v>
      </c>
      <c r="E62" s="72">
        <v>4.5999999999999999E-2</v>
      </c>
      <c r="F62" s="49" t="s">
        <v>690</v>
      </c>
    </row>
    <row r="63" spans="2:6" ht="24" customHeight="1" x14ac:dyDescent="0.45">
      <c r="B63" s="47" t="s">
        <v>691</v>
      </c>
      <c r="C63" s="75">
        <f>C62*(1-C43)</f>
        <v>3.8710000000000001E-2</v>
      </c>
      <c r="D63" s="75">
        <f>D62*(1-D43)</f>
        <v>4.0279999999999996E-2</v>
      </c>
      <c r="E63" s="75">
        <f>E62*(1-E43)</f>
        <v>3.7720000000000004E-2</v>
      </c>
      <c r="F63" s="48"/>
    </row>
    <row r="64" spans="2:6" ht="24" customHeight="1" x14ac:dyDescent="0.45">
      <c r="B64" s="45" t="s">
        <v>692</v>
      </c>
      <c r="C64" s="70">
        <v>0.97</v>
      </c>
      <c r="D64" s="70">
        <v>0.95</v>
      </c>
      <c r="E64" s="70">
        <v>0.98</v>
      </c>
      <c r="F64" s="46"/>
    </row>
    <row r="65" spans="2:6" ht="24" customHeight="1" x14ac:dyDescent="0.45">
      <c r="B65" s="47" t="s">
        <v>693</v>
      </c>
      <c r="C65" s="59">
        <f>1-C64</f>
        <v>3.0000000000000027E-2</v>
      </c>
      <c r="D65" s="59">
        <f>1-D64</f>
        <v>5.0000000000000044E-2</v>
      </c>
      <c r="E65" s="59">
        <f>1-E64</f>
        <v>2.0000000000000018E-2</v>
      </c>
      <c r="F65" s="48"/>
    </row>
    <row r="66" spans="2:6" ht="24" customHeight="1" x14ac:dyDescent="0.45">
      <c r="B66" s="45" t="s">
        <v>694</v>
      </c>
      <c r="C66" s="76">
        <f>C61*C64+C63*C65</f>
        <v>9.7666599999999992E-2</v>
      </c>
      <c r="D66" s="76">
        <f>D61*D64+D63*D65</f>
        <v>0.11240399999999999</v>
      </c>
      <c r="E66" s="76">
        <f>E61*E64+E63*E65</f>
        <v>8.9444399999999993E-2</v>
      </c>
      <c r="F66" s="46"/>
    </row>
    <row r="67" spans="2:6" ht="24" customHeight="1" x14ac:dyDescent="0.5">
      <c r="B67" s="54"/>
      <c r="C67" s="21"/>
      <c r="D67" s="21"/>
      <c r="E67" s="21"/>
      <c r="F67" s="48"/>
    </row>
    <row r="68" spans="2:6" ht="28.15" customHeight="1" x14ac:dyDescent="0.45">
      <c r="B68" s="242" t="s">
        <v>695</v>
      </c>
      <c r="C68" s="185"/>
      <c r="D68" s="185"/>
      <c r="E68" s="185"/>
      <c r="F68" s="185"/>
    </row>
    <row r="69" spans="2:6" ht="24" customHeight="1" x14ac:dyDescent="0.45">
      <c r="B69" s="47" t="s">
        <v>696</v>
      </c>
      <c r="C69" s="80">
        <v>0.03</v>
      </c>
      <c r="D69" s="80">
        <v>2.5000000000000001E-2</v>
      </c>
      <c r="E69" s="80">
        <v>3.5000000000000003E-2</v>
      </c>
      <c r="F69" s="50" t="s">
        <v>697</v>
      </c>
    </row>
    <row r="70" spans="2:6" ht="24" customHeight="1" x14ac:dyDescent="0.45">
      <c r="B70" s="45" t="s">
        <v>452</v>
      </c>
      <c r="C70" s="81">
        <v>0.28000000000000003</v>
      </c>
      <c r="D70" s="81">
        <v>0.23</v>
      </c>
      <c r="E70" s="81">
        <v>0.3</v>
      </c>
      <c r="F70" s="46"/>
    </row>
    <row r="71" spans="2:6" ht="24" customHeight="1" x14ac:dyDescent="0.45">
      <c r="B71" s="47" t="s">
        <v>698</v>
      </c>
      <c r="C71" s="69">
        <v>0.105</v>
      </c>
      <c r="D71" s="69">
        <v>0.12</v>
      </c>
      <c r="E71" s="69">
        <v>9.5000000000000001E-2</v>
      </c>
      <c r="F71" s="48"/>
    </row>
    <row r="72" spans="2:6" ht="24" customHeight="1" x14ac:dyDescent="0.45">
      <c r="B72" s="45" t="s">
        <v>457</v>
      </c>
      <c r="C72" s="70">
        <v>0.18</v>
      </c>
      <c r="D72" s="70">
        <v>0.12</v>
      </c>
      <c r="E72" s="70">
        <v>0.22</v>
      </c>
      <c r="F72" s="49" t="s">
        <v>699</v>
      </c>
    </row>
    <row r="73" spans="2:6" ht="24" customHeight="1" x14ac:dyDescent="0.45">
      <c r="B73" s="47" t="s">
        <v>700</v>
      </c>
      <c r="C73" s="77" t="s">
        <v>701</v>
      </c>
      <c r="D73" s="77" t="s">
        <v>701</v>
      </c>
      <c r="E73" s="77" t="s">
        <v>701</v>
      </c>
      <c r="F73" s="48"/>
    </row>
    <row r="74" spans="2:6" ht="24" customHeight="1" x14ac:dyDescent="0.45">
      <c r="B74" s="45" t="s">
        <v>702</v>
      </c>
      <c r="C74" s="78">
        <v>16</v>
      </c>
      <c r="D74" s="78">
        <v>12</v>
      </c>
      <c r="E74" s="78">
        <v>20</v>
      </c>
      <c r="F74" s="46"/>
    </row>
    <row r="75" spans="2:6" ht="24" customHeight="1" x14ac:dyDescent="0.5">
      <c r="B75" s="54"/>
      <c r="C75" s="21"/>
      <c r="D75" s="21"/>
      <c r="E75" s="21"/>
      <c r="F75" s="48"/>
    </row>
    <row r="76" spans="2:6" ht="28.15" customHeight="1" x14ac:dyDescent="0.45">
      <c r="B76" s="242" t="s">
        <v>703</v>
      </c>
      <c r="C76" s="185"/>
      <c r="D76" s="185"/>
      <c r="E76" s="185"/>
      <c r="F76" s="185"/>
    </row>
    <row r="77" spans="2:6" ht="24" customHeight="1" x14ac:dyDescent="0.5">
      <c r="B77" s="47" t="s">
        <v>475</v>
      </c>
      <c r="C77" s="65">
        <v>86810</v>
      </c>
      <c r="D77" s="21"/>
      <c r="E77" s="21"/>
      <c r="F77" s="50" t="s">
        <v>704</v>
      </c>
    </row>
    <row r="78" spans="2:6" ht="24" customHeight="1" x14ac:dyDescent="0.5">
      <c r="B78" s="45" t="s">
        <v>480</v>
      </c>
      <c r="C78" s="66">
        <v>36219</v>
      </c>
      <c r="D78" s="22"/>
      <c r="E78" s="22"/>
      <c r="F78" s="49" t="s">
        <v>704</v>
      </c>
    </row>
    <row r="79" spans="2:6" ht="24" customHeight="1" x14ac:dyDescent="0.5">
      <c r="B79" s="47" t="s">
        <v>485</v>
      </c>
      <c r="C79" s="65">
        <v>89295</v>
      </c>
      <c r="D79" s="21"/>
      <c r="E79" s="21"/>
      <c r="F79" s="50" t="s">
        <v>705</v>
      </c>
    </row>
    <row r="80" spans="2:6" ht="24" customHeight="1" x14ac:dyDescent="0.5">
      <c r="B80" s="45" t="s">
        <v>490</v>
      </c>
      <c r="C80" s="66">
        <v>0</v>
      </c>
      <c r="D80" s="22"/>
      <c r="E80" s="22"/>
      <c r="F80" s="49" t="s">
        <v>706</v>
      </c>
    </row>
    <row r="81" spans="2:6" ht="24" customHeight="1" x14ac:dyDescent="0.5">
      <c r="B81" s="47" t="s">
        <v>707</v>
      </c>
      <c r="C81" s="65">
        <v>87339</v>
      </c>
      <c r="D81" s="21"/>
      <c r="E81" s="21"/>
      <c r="F81" s="50" t="s">
        <v>708</v>
      </c>
    </row>
    <row r="82" spans="2:6" ht="24" customHeight="1" x14ac:dyDescent="0.5">
      <c r="B82" s="45" t="s">
        <v>709</v>
      </c>
      <c r="C82" s="66">
        <v>0</v>
      </c>
      <c r="D82" s="22"/>
      <c r="E82" s="22"/>
      <c r="F82" s="49" t="s">
        <v>705</v>
      </c>
    </row>
    <row r="83" spans="2:6" ht="24" customHeight="1" x14ac:dyDescent="0.5">
      <c r="B83" s="47" t="s">
        <v>504</v>
      </c>
      <c r="C83" s="65">
        <v>0</v>
      </c>
      <c r="D83" s="21"/>
      <c r="E83" s="21"/>
      <c r="F83" s="50" t="s">
        <v>710</v>
      </c>
    </row>
    <row r="84" spans="2:6" ht="24" customHeight="1" x14ac:dyDescent="0.5">
      <c r="B84" s="45" t="s">
        <v>509</v>
      </c>
      <c r="C84" s="66">
        <v>0</v>
      </c>
      <c r="D84" s="22"/>
      <c r="E84" s="22"/>
      <c r="F84" s="49" t="s">
        <v>705</v>
      </c>
    </row>
    <row r="85" spans="2:6" ht="24" customHeight="1" x14ac:dyDescent="0.5">
      <c r="B85" s="47" t="s">
        <v>711</v>
      </c>
      <c r="C85" s="65">
        <v>0</v>
      </c>
      <c r="D85" s="21"/>
      <c r="E85" s="21"/>
      <c r="F85" s="50" t="s">
        <v>712</v>
      </c>
    </row>
    <row r="86" spans="2:6" ht="24" customHeight="1" x14ac:dyDescent="0.5">
      <c r="B86" s="53"/>
      <c r="C86" s="22"/>
      <c r="D86" s="22"/>
      <c r="E86" s="22"/>
      <c r="F86" s="46"/>
    </row>
    <row r="87" spans="2:6" ht="28.15" customHeight="1" x14ac:dyDescent="0.45">
      <c r="B87" s="242" t="s">
        <v>713</v>
      </c>
      <c r="C87" s="185"/>
      <c r="D87" s="185"/>
      <c r="E87" s="185"/>
      <c r="F87" s="185"/>
    </row>
    <row r="88" spans="2:6" ht="24" customHeight="1" x14ac:dyDescent="0.45">
      <c r="B88" s="45" t="s">
        <v>714</v>
      </c>
      <c r="C88" s="81">
        <v>0.55000000000000004</v>
      </c>
      <c r="D88" s="81">
        <v>0.2</v>
      </c>
      <c r="E88" s="81">
        <v>0.25</v>
      </c>
      <c r="F88" s="49" t="s">
        <v>715</v>
      </c>
    </row>
    <row r="89" spans="2:6" ht="24" customHeight="1" x14ac:dyDescent="0.5">
      <c r="B89" s="58" t="s">
        <v>716</v>
      </c>
      <c r="C89" s="82">
        <f>C88+D88+E88</f>
        <v>1</v>
      </c>
      <c r="D89" s="21"/>
      <c r="E89" s="21"/>
      <c r="F89" s="48"/>
    </row>
    <row r="90" spans="2:6" ht="24" customHeight="1" x14ac:dyDescent="0.5">
      <c r="B90" s="45" t="s">
        <v>717</v>
      </c>
      <c r="C90" s="79" t="s">
        <v>718</v>
      </c>
      <c r="D90" s="22"/>
      <c r="E90" s="22"/>
      <c r="F90" s="49" t="s">
        <v>719</v>
      </c>
    </row>
  </sheetData>
  <mergeCells count="11">
    <mergeCell ref="B68:F68"/>
    <mergeCell ref="B7:F7"/>
    <mergeCell ref="B55:F55"/>
    <mergeCell ref="B87:F87"/>
    <mergeCell ref="B2:F2"/>
    <mergeCell ref="B15:F15"/>
    <mergeCell ref="B33:F33"/>
    <mergeCell ref="B25:F25"/>
    <mergeCell ref="B3:F3"/>
    <mergeCell ref="B76:F76"/>
    <mergeCell ref="B46:F46"/>
  </mergeCells>
  <dataValidations count="2">
    <dataValidation type="list" sqref="C73:E73" xr:uid="{00000000-0002-0000-0300-000000000000}">
      <formula1>"Gordon Growth,Exit Multiple"</formula1>
    </dataValidation>
    <dataValidation type="list" sqref="C90" xr:uid="{00000000-0002-0000-0300-000001000000}">
      <formula1>"Y,N"</formula1>
    </dataValidation>
  </dataValidations>
  <pageMargins left="0.75" right="0.75" top="1" bottom="1" header="0.5" footer="0.5"/>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AD47"/>
  </sheetPr>
  <dimension ref="B2:G34"/>
  <sheetViews>
    <sheetView showGridLines="0" zoomScale="85" zoomScaleNormal="85" workbookViewId="0">
      <pane xSplit="2" ySplit="5" topLeftCell="C21" activePane="bottomRight" state="frozen"/>
      <selection pane="topRight"/>
      <selection pane="bottomLeft"/>
      <selection pane="bottomRight" activeCell="H25" sqref="H25"/>
    </sheetView>
  </sheetViews>
  <sheetFormatPr defaultRowHeight="14.25" x14ac:dyDescent="0.45"/>
  <cols>
    <col min="1" max="1" width="2.3984375" customWidth="1"/>
    <col min="2" max="2" width="49.86328125" customWidth="1"/>
    <col min="3" max="7" width="19.59765625" customWidth="1"/>
  </cols>
  <sheetData>
    <row r="2" spans="2:7" ht="42" customHeight="1" x14ac:dyDescent="0.45">
      <c r="B2" s="184" t="s">
        <v>720</v>
      </c>
      <c r="C2" s="185"/>
      <c r="D2" s="185"/>
      <c r="E2" s="185"/>
      <c r="F2" s="185"/>
      <c r="G2" s="185"/>
    </row>
    <row r="3" spans="2:7" ht="24" customHeight="1" x14ac:dyDescent="0.45">
      <c r="B3" s="243" t="s">
        <v>721</v>
      </c>
      <c r="C3" s="185"/>
      <c r="D3" s="185"/>
      <c r="E3" s="185"/>
      <c r="F3" s="185"/>
      <c r="G3" s="185"/>
    </row>
    <row r="4" spans="2:7" ht="15.75" customHeight="1" x14ac:dyDescent="0.5">
      <c r="B4" s="3"/>
      <c r="C4" s="3"/>
      <c r="D4" s="3"/>
      <c r="E4" s="3"/>
      <c r="F4" s="3"/>
      <c r="G4" s="3"/>
    </row>
    <row r="5" spans="2:7" ht="26.1" customHeight="1" x14ac:dyDescent="0.45">
      <c r="B5" s="244" t="s">
        <v>722</v>
      </c>
      <c r="C5" s="185"/>
      <c r="D5" s="185"/>
      <c r="E5" s="185"/>
      <c r="F5" s="185"/>
      <c r="G5" s="185"/>
    </row>
    <row r="6" spans="2:7" ht="22.15" customHeight="1" x14ac:dyDescent="0.45">
      <c r="B6" s="105" t="s">
        <v>723</v>
      </c>
      <c r="C6" s="79" t="s">
        <v>724</v>
      </c>
      <c r="D6" s="79" t="s">
        <v>725</v>
      </c>
      <c r="E6" s="79" t="s">
        <v>726</v>
      </c>
      <c r="F6" s="79" t="s">
        <v>727</v>
      </c>
      <c r="G6" s="79">
        <v>2025</v>
      </c>
    </row>
    <row r="7" spans="2:7" ht="22.15" customHeight="1" x14ac:dyDescent="0.45">
      <c r="B7" s="47" t="s">
        <v>728</v>
      </c>
      <c r="C7" s="65">
        <v>469822</v>
      </c>
      <c r="D7" s="65">
        <v>513983</v>
      </c>
      <c r="E7" s="65">
        <v>574785</v>
      </c>
      <c r="F7" s="65">
        <v>637959</v>
      </c>
      <c r="G7" s="65">
        <v>716924</v>
      </c>
    </row>
    <row r="8" spans="2:7" ht="22.15" customHeight="1" x14ac:dyDescent="0.5">
      <c r="B8" s="109" t="s">
        <v>729</v>
      </c>
      <c r="C8" s="22"/>
      <c r="D8" s="91">
        <f>D7/C7-1</f>
        <v>9.399517263985091E-2</v>
      </c>
      <c r="E8" s="91">
        <f>E7/D7-1</f>
        <v>0.1182957412988368</v>
      </c>
      <c r="F8" s="91">
        <f>F7/E7-1</f>
        <v>0.1099089224666614</v>
      </c>
      <c r="G8" s="91">
        <f>G7/F7-1</f>
        <v>0.12377754683294695</v>
      </c>
    </row>
    <row r="9" spans="2:7" ht="22.15" customHeight="1" x14ac:dyDescent="0.45">
      <c r="B9" s="47" t="s">
        <v>730</v>
      </c>
      <c r="C9" s="65">
        <v>197478</v>
      </c>
      <c r="D9" s="65">
        <v>225152</v>
      </c>
      <c r="E9" s="65">
        <v>270046</v>
      </c>
      <c r="F9" s="65">
        <v>311671</v>
      </c>
      <c r="G9" s="65">
        <v>360510</v>
      </c>
    </row>
    <row r="10" spans="2:7" ht="22.15" customHeight="1" x14ac:dyDescent="0.45">
      <c r="B10" s="109" t="s">
        <v>731</v>
      </c>
      <c r="C10" s="91">
        <f>C9/C7</f>
        <v>0.42032514441639601</v>
      </c>
      <c r="D10" s="91">
        <f>D9/D7</f>
        <v>0.43805339865326287</v>
      </c>
      <c r="E10" s="91">
        <f>E9/E7</f>
        <v>0.46982088955000567</v>
      </c>
      <c r="F10" s="91">
        <f>F9/F7</f>
        <v>0.48854393464156787</v>
      </c>
      <c r="G10" s="91">
        <f>G9/G7</f>
        <v>0.50285664868242663</v>
      </c>
    </row>
    <row r="11" spans="2:7" ht="22.15" customHeight="1" x14ac:dyDescent="0.45">
      <c r="B11" s="47" t="s">
        <v>732</v>
      </c>
      <c r="C11" s="65">
        <v>138166</v>
      </c>
      <c r="D11" s="65">
        <v>170983</v>
      </c>
      <c r="E11" s="65">
        <v>184531</v>
      </c>
      <c r="F11" s="65">
        <v>190283</v>
      </c>
      <c r="G11" s="65">
        <v>214779</v>
      </c>
    </row>
    <row r="12" spans="2:7" ht="22.15" customHeight="1" x14ac:dyDescent="0.45">
      <c r="B12" s="90" t="s">
        <v>733</v>
      </c>
      <c r="C12" s="51">
        <f>C9-C11</f>
        <v>59312</v>
      </c>
      <c r="D12" s="51">
        <f>D9-D11</f>
        <v>54169</v>
      </c>
      <c r="E12" s="51">
        <f>E9-E11</f>
        <v>85515</v>
      </c>
      <c r="F12" s="51">
        <f>F9-F11</f>
        <v>121388</v>
      </c>
      <c r="G12" s="51">
        <f>G9-G11</f>
        <v>145731</v>
      </c>
    </row>
    <row r="13" spans="2:7" ht="22.15" customHeight="1" x14ac:dyDescent="0.45">
      <c r="B13" s="58" t="s">
        <v>734</v>
      </c>
      <c r="C13" s="59">
        <f>C12/C7</f>
        <v>0.12624355607017126</v>
      </c>
      <c r="D13" s="59">
        <f>D12/D7</f>
        <v>0.10539064521589235</v>
      </c>
      <c r="E13" s="59">
        <f>E12/E7</f>
        <v>0.14877736892925181</v>
      </c>
      <c r="F13" s="59">
        <f>F12/F7</f>
        <v>0.19027555062315918</v>
      </c>
      <c r="G13" s="59">
        <f>G12/G7</f>
        <v>0.20327259235288539</v>
      </c>
    </row>
    <row r="14" spans="2:7" ht="22.15" customHeight="1" x14ac:dyDescent="0.45">
      <c r="B14" s="45" t="s">
        <v>296</v>
      </c>
      <c r="C14" s="66">
        <v>34433</v>
      </c>
      <c r="D14" s="66">
        <v>41921</v>
      </c>
      <c r="E14" s="66">
        <v>48663</v>
      </c>
      <c r="F14" s="66">
        <v>52795</v>
      </c>
      <c r="G14" s="66">
        <v>65756</v>
      </c>
    </row>
    <row r="15" spans="2:7" ht="22.15" customHeight="1" x14ac:dyDescent="0.45">
      <c r="B15" s="87" t="s">
        <v>735</v>
      </c>
      <c r="C15" s="52">
        <f>C12-C14</f>
        <v>24879</v>
      </c>
      <c r="D15" s="52">
        <f>D12-D14</f>
        <v>12248</v>
      </c>
      <c r="E15" s="52">
        <f>E12-E14</f>
        <v>36852</v>
      </c>
      <c r="F15" s="52">
        <f>F12-F14</f>
        <v>68593</v>
      </c>
      <c r="G15" s="52">
        <f>G12-G14</f>
        <v>79975</v>
      </c>
    </row>
    <row r="16" spans="2:7" ht="22.15" customHeight="1" x14ac:dyDescent="0.45">
      <c r="B16" s="109" t="s">
        <v>736</v>
      </c>
      <c r="C16" s="91">
        <f>C15/C7</f>
        <v>5.2954097509269465E-2</v>
      </c>
      <c r="D16" s="91">
        <f>D15/D7</f>
        <v>2.3829581912242232E-2</v>
      </c>
      <c r="E16" s="91">
        <f>E15/E7</f>
        <v>6.4114407996033296E-2</v>
      </c>
      <c r="F16" s="91">
        <f>F15/F7</f>
        <v>0.1075194487420038</v>
      </c>
      <c r="G16" s="91">
        <f>G15/G7</f>
        <v>0.11155296795755199</v>
      </c>
    </row>
    <row r="17" spans="2:7" ht="22.15" customHeight="1" x14ac:dyDescent="0.45">
      <c r="B17" s="47" t="s">
        <v>301</v>
      </c>
      <c r="C17" s="65">
        <v>1809</v>
      </c>
      <c r="D17" s="65">
        <v>2367</v>
      </c>
      <c r="E17" s="65">
        <v>3182</v>
      </c>
      <c r="F17" s="65">
        <v>2406</v>
      </c>
      <c r="G17" s="65">
        <v>2274</v>
      </c>
    </row>
    <row r="18" spans="2:7" ht="22.15" customHeight="1" x14ac:dyDescent="0.45">
      <c r="B18" s="45" t="s">
        <v>737</v>
      </c>
      <c r="C18" s="67">
        <f>C15-C17</f>
        <v>23070</v>
      </c>
      <c r="D18" s="67">
        <f>D15-D17</f>
        <v>9881</v>
      </c>
      <c r="E18" s="67">
        <f>E15-E17</f>
        <v>33670</v>
      </c>
      <c r="F18" s="67">
        <f>F15-F17</f>
        <v>66187</v>
      </c>
      <c r="G18" s="67">
        <f>G15-G17</f>
        <v>77701</v>
      </c>
    </row>
    <row r="19" spans="2:7" ht="22.15" customHeight="1" x14ac:dyDescent="0.45">
      <c r="B19" s="47" t="s">
        <v>738</v>
      </c>
      <c r="C19" s="68">
        <f>C18*0.21</f>
        <v>4844.7</v>
      </c>
      <c r="D19" s="68">
        <f>D18*0.21</f>
        <v>2075.0099999999998</v>
      </c>
      <c r="E19" s="68">
        <f>E18*0.21</f>
        <v>7070.7</v>
      </c>
      <c r="F19" s="68">
        <f>F18*0.21</f>
        <v>13899.269999999999</v>
      </c>
      <c r="G19" s="68">
        <f>G18*0.21</f>
        <v>16317.21</v>
      </c>
    </row>
    <row r="20" spans="2:7" ht="22.15" customHeight="1" x14ac:dyDescent="0.45">
      <c r="B20" s="90" t="s">
        <v>739</v>
      </c>
      <c r="C20" s="51">
        <f>C18-C19</f>
        <v>18225.3</v>
      </c>
      <c r="D20" s="51">
        <f>D18-D19</f>
        <v>7805.99</v>
      </c>
      <c r="E20" s="51">
        <f>E18-E19</f>
        <v>26599.3</v>
      </c>
      <c r="F20" s="51">
        <f>F18-F19</f>
        <v>52287.73</v>
      </c>
      <c r="G20" s="51">
        <f>G18-G19</f>
        <v>61383.79</v>
      </c>
    </row>
    <row r="21" spans="2:7" ht="22.15" customHeight="1" x14ac:dyDescent="0.45">
      <c r="B21" s="58" t="s">
        <v>740</v>
      </c>
      <c r="C21" s="59">
        <f>C20/C7</f>
        <v>3.8791925452618226E-2</v>
      </c>
      <c r="D21" s="59">
        <f>D20/D7</f>
        <v>1.5187253274913761E-2</v>
      </c>
      <c r="E21" s="59">
        <f>E20/E7</f>
        <v>4.6276955731273432E-2</v>
      </c>
      <c r="F21" s="59">
        <f>F20/F7</f>
        <v>8.1960956738599197E-2</v>
      </c>
      <c r="G21" s="59">
        <f>G20/G7</f>
        <v>8.5621056067309784E-2</v>
      </c>
    </row>
    <row r="22" spans="2:7" ht="15.75" customHeight="1" x14ac:dyDescent="0.5">
      <c r="B22" s="3"/>
      <c r="C22" s="3"/>
      <c r="D22" s="3"/>
      <c r="E22" s="3"/>
      <c r="F22" s="3"/>
      <c r="G22" s="3"/>
    </row>
    <row r="23" spans="2:7" ht="15.75" customHeight="1" x14ac:dyDescent="0.5">
      <c r="B23" s="3"/>
      <c r="C23" s="3"/>
      <c r="D23" s="3"/>
      <c r="E23" s="3"/>
      <c r="F23" s="3"/>
      <c r="G23" s="3"/>
    </row>
    <row r="24" spans="2:7" ht="22.15" customHeight="1" x14ac:dyDescent="0.45">
      <c r="B24" s="245" t="s">
        <v>741</v>
      </c>
      <c r="C24" s="185"/>
      <c r="D24" s="185"/>
      <c r="E24" s="185"/>
      <c r="F24" s="185"/>
      <c r="G24" s="185"/>
    </row>
    <row r="25" spans="2:7" ht="22.15" customHeight="1" x14ac:dyDescent="0.45">
      <c r="B25" s="85" t="s">
        <v>723</v>
      </c>
      <c r="C25" s="77" t="s">
        <v>724</v>
      </c>
      <c r="D25" s="77" t="s">
        <v>725</v>
      </c>
      <c r="E25" s="77" t="s">
        <v>726</v>
      </c>
      <c r="F25" s="77" t="s">
        <v>727</v>
      </c>
      <c r="G25" s="77">
        <v>2025</v>
      </c>
    </row>
    <row r="26" spans="2:7" ht="22.15" customHeight="1" x14ac:dyDescent="0.45">
      <c r="B26" s="45" t="s">
        <v>739</v>
      </c>
      <c r="C26" s="67">
        <f>C20</f>
        <v>18225.3</v>
      </c>
      <c r="D26" s="67">
        <f>D20</f>
        <v>7805.99</v>
      </c>
      <c r="E26" s="67">
        <f>E20</f>
        <v>26599.3</v>
      </c>
      <c r="F26" s="67">
        <f>F20</f>
        <v>52287.73</v>
      </c>
      <c r="G26" s="67">
        <f>G20</f>
        <v>61383.79</v>
      </c>
    </row>
    <row r="27" spans="2:7" ht="22.15" customHeight="1" x14ac:dyDescent="0.45">
      <c r="B27" s="47" t="s">
        <v>742</v>
      </c>
      <c r="C27" s="68">
        <f>C14</f>
        <v>34433</v>
      </c>
      <c r="D27" s="68">
        <f>D14</f>
        <v>41921</v>
      </c>
      <c r="E27" s="68">
        <f>E14</f>
        <v>48663</v>
      </c>
      <c r="F27" s="68">
        <f>F14</f>
        <v>52795</v>
      </c>
      <c r="G27" s="68">
        <f>G14</f>
        <v>65756</v>
      </c>
    </row>
    <row r="28" spans="2:7" ht="22.15" customHeight="1" x14ac:dyDescent="0.45">
      <c r="B28" s="45" t="s">
        <v>743</v>
      </c>
      <c r="C28" s="66">
        <v>12757</v>
      </c>
      <c r="D28" s="66">
        <v>19621</v>
      </c>
      <c r="E28" s="66">
        <v>24023</v>
      </c>
      <c r="F28" s="66">
        <v>22011</v>
      </c>
      <c r="G28" s="66">
        <v>19467</v>
      </c>
    </row>
    <row r="29" spans="2:7" ht="22.15" customHeight="1" x14ac:dyDescent="0.45">
      <c r="B29" s="47" t="s">
        <v>744</v>
      </c>
      <c r="C29" s="65">
        <v>-19611</v>
      </c>
      <c r="D29" s="65">
        <v>-20886</v>
      </c>
      <c r="E29" s="65">
        <v>-11541</v>
      </c>
      <c r="F29" s="65">
        <v>-15541</v>
      </c>
      <c r="G29" s="65">
        <v>-19969</v>
      </c>
    </row>
    <row r="30" spans="2:7" ht="22.15" customHeight="1" x14ac:dyDescent="0.45">
      <c r="B30" s="90" t="s">
        <v>745</v>
      </c>
      <c r="C30" s="51">
        <f>C26+C27+C28+C29</f>
        <v>45804.3</v>
      </c>
      <c r="D30" s="51">
        <f>D26+D27+D28+D29</f>
        <v>48461.989999999991</v>
      </c>
      <c r="E30" s="51">
        <f>E26+E27+E28+E29</f>
        <v>87744.3</v>
      </c>
      <c r="F30" s="51">
        <f>F26+F27+F28+F29</f>
        <v>111552.73000000001</v>
      </c>
      <c r="G30" s="51">
        <f>G26+G27+G28+G29</f>
        <v>126637.79000000001</v>
      </c>
    </row>
    <row r="31" spans="2:7" ht="22.15" customHeight="1" x14ac:dyDescent="0.45">
      <c r="B31" s="47" t="s">
        <v>315</v>
      </c>
      <c r="C31" s="65">
        <v>-61053</v>
      </c>
      <c r="D31" s="65">
        <v>-63645</v>
      </c>
      <c r="E31" s="65">
        <v>-52729</v>
      </c>
      <c r="F31" s="65">
        <v>-82999</v>
      </c>
      <c r="G31" s="65">
        <v>-131819</v>
      </c>
    </row>
    <row r="32" spans="2:7" ht="22.15" customHeight="1" x14ac:dyDescent="0.45">
      <c r="B32" s="90" t="s">
        <v>746</v>
      </c>
      <c r="C32" s="51">
        <f>C30+C31</f>
        <v>-15248.699999999997</v>
      </c>
      <c r="D32" s="51">
        <f>D30+D31</f>
        <v>-15183.010000000009</v>
      </c>
      <c r="E32" s="51">
        <f>E30+E31</f>
        <v>35015.300000000003</v>
      </c>
      <c r="F32" s="51">
        <f>F30+F31</f>
        <v>28553.73000000001</v>
      </c>
      <c r="G32" s="51">
        <f>G30+G31</f>
        <v>-5181.2099999999919</v>
      </c>
    </row>
    <row r="33" spans="2:7" ht="22.15" customHeight="1" x14ac:dyDescent="0.45">
      <c r="B33" s="58" t="s">
        <v>747</v>
      </c>
      <c r="C33" s="59">
        <f>C32/C7</f>
        <v>-3.2456334526693081E-2</v>
      </c>
      <c r="D33" s="59">
        <f>D32/D7</f>
        <v>-2.9539906961903426E-2</v>
      </c>
      <c r="E33" s="59">
        <f>E32/E7</f>
        <v>6.0918952303904941E-2</v>
      </c>
      <c r="F33" s="59">
        <f>F32/F7</f>
        <v>4.4757938989809704E-2</v>
      </c>
      <c r="G33" s="59">
        <f>G32/G7</f>
        <v>-7.2270003515016818E-3</v>
      </c>
    </row>
    <row r="34" spans="2:7" ht="22.15" customHeight="1" x14ac:dyDescent="0.45">
      <c r="B34" s="109" t="s">
        <v>748</v>
      </c>
      <c r="C34" s="91">
        <f>IFERROR(C32/C20,0)</f>
        <v>-0.83667758555414717</v>
      </c>
      <c r="D34" s="91">
        <f>IFERROR(D32/D20,0)</f>
        <v>-1.9450460479708545</v>
      </c>
      <c r="E34" s="91">
        <f>IFERROR(E32/E20,0)</f>
        <v>1.3163993037410759</v>
      </c>
      <c r="F34" s="91">
        <f>IFERROR(F32/F20,0)</f>
        <v>0.54608853740638597</v>
      </c>
      <c r="G34" s="91">
        <f>IFERROR(G32/G20,0)</f>
        <v>-8.4406811635449552E-2</v>
      </c>
    </row>
  </sheetData>
  <mergeCells count="4">
    <mergeCell ref="B5:G5"/>
    <mergeCell ref="B2:G2"/>
    <mergeCell ref="B24:G24"/>
    <mergeCell ref="B3:G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D7D31"/>
  </sheetPr>
  <dimension ref="B2:N84"/>
  <sheetViews>
    <sheetView showGridLines="0" workbookViewId="0">
      <pane xSplit="2" ySplit="7" topLeftCell="J78" activePane="bottomRight" state="frozen"/>
      <selection pane="topRight"/>
      <selection pane="bottomLeft"/>
      <selection pane="bottomRight" activeCell="E22" sqref="E22"/>
    </sheetView>
  </sheetViews>
  <sheetFormatPr defaultRowHeight="14.25" x14ac:dyDescent="0.45"/>
  <cols>
    <col min="1" max="1" width="2.3984375" customWidth="1"/>
    <col min="2" max="2" width="44.3984375" customWidth="1"/>
    <col min="3" max="13" width="16" customWidth="1"/>
    <col min="14" max="14" width="19.59765625" customWidth="1"/>
  </cols>
  <sheetData>
    <row r="2" spans="2:14" ht="42" customHeight="1" x14ac:dyDescent="0.45">
      <c r="B2" s="184" t="s">
        <v>749</v>
      </c>
      <c r="C2" s="185"/>
      <c r="D2" s="185"/>
      <c r="E2" s="185"/>
      <c r="F2" s="185"/>
      <c r="G2" s="185"/>
      <c r="H2" s="185"/>
      <c r="I2" s="185"/>
      <c r="J2" s="185"/>
      <c r="K2" s="185"/>
      <c r="L2" s="185"/>
      <c r="M2" s="185"/>
      <c r="N2" s="185"/>
    </row>
    <row r="3" spans="2:14" ht="15.75" customHeight="1" x14ac:dyDescent="0.5">
      <c r="B3" s="34" t="s">
        <v>750</v>
      </c>
      <c r="C3" s="3"/>
      <c r="D3" s="3"/>
      <c r="E3" s="3"/>
      <c r="F3" s="3"/>
      <c r="G3" s="3"/>
      <c r="H3" s="3"/>
      <c r="I3" s="3"/>
      <c r="J3" s="3"/>
      <c r="K3" s="3"/>
      <c r="L3" s="3"/>
      <c r="M3" s="3"/>
      <c r="N3" s="3"/>
    </row>
    <row r="4" spans="2:14" ht="15.75" customHeight="1" x14ac:dyDescent="0.5">
      <c r="B4" s="95" t="s">
        <v>751</v>
      </c>
      <c r="C4" s="41" t="s">
        <v>752</v>
      </c>
      <c r="D4" s="3"/>
      <c r="E4" s="3"/>
      <c r="F4" s="37" t="s">
        <v>753</v>
      </c>
      <c r="G4" s="3"/>
      <c r="H4" s="3"/>
      <c r="I4" s="3"/>
      <c r="J4" s="3"/>
      <c r="K4" s="3"/>
      <c r="L4" s="3"/>
      <c r="M4" s="3"/>
      <c r="N4" s="3"/>
    </row>
    <row r="5" spans="2:14" ht="26.1" customHeight="1" x14ac:dyDescent="0.45">
      <c r="B5" s="113"/>
      <c r="C5" s="108"/>
      <c r="D5" s="108"/>
      <c r="E5" s="108"/>
      <c r="F5" s="108"/>
      <c r="G5" s="108"/>
      <c r="H5" s="108"/>
      <c r="I5" s="108"/>
      <c r="J5" s="108"/>
      <c r="K5" s="108"/>
      <c r="L5" s="108"/>
      <c r="M5" s="108"/>
      <c r="N5" s="108"/>
    </row>
    <row r="6" spans="2:14" ht="22.15" customHeight="1" x14ac:dyDescent="0.5">
      <c r="B6" s="245" t="s">
        <v>754</v>
      </c>
      <c r="C6" s="185"/>
      <c r="D6" s="185"/>
      <c r="E6" s="185"/>
      <c r="F6" s="185"/>
      <c r="G6" s="185"/>
      <c r="H6" s="185"/>
      <c r="I6" s="185"/>
      <c r="J6" s="185"/>
      <c r="K6" s="185"/>
      <c r="L6" s="185"/>
      <c r="M6" s="185"/>
      <c r="N6" s="22"/>
    </row>
    <row r="7" spans="2:14" ht="22.15" customHeight="1" x14ac:dyDescent="0.5">
      <c r="B7" s="85" t="s">
        <v>723</v>
      </c>
      <c r="C7" s="77" t="s">
        <v>755</v>
      </c>
      <c r="D7" s="77" t="s">
        <v>756</v>
      </c>
      <c r="E7" s="77" t="s">
        <v>757</v>
      </c>
      <c r="F7" s="77" t="s">
        <v>758</v>
      </c>
      <c r="G7" s="77" t="s">
        <v>759</v>
      </c>
      <c r="H7" s="77" t="s">
        <v>760</v>
      </c>
      <c r="I7" s="77" t="s">
        <v>761</v>
      </c>
      <c r="J7" s="77" t="s">
        <v>762</v>
      </c>
      <c r="K7" s="77" t="s">
        <v>763</v>
      </c>
      <c r="L7" s="77" t="s">
        <v>764</v>
      </c>
      <c r="M7" s="77" t="s">
        <v>765</v>
      </c>
      <c r="N7" s="21"/>
    </row>
    <row r="8" spans="2:14" ht="22.15" customHeight="1" x14ac:dyDescent="0.5">
      <c r="B8" s="109" t="s">
        <v>766</v>
      </c>
      <c r="C8" s="114">
        <f>IF($C$4="Base",'⚙️ Assumptions'!C27,IF($C$4="Bear",'⚙️ Assumptions'!D27,'⚙️ Assumptions'!E27))</f>
        <v>0.14000000000000001</v>
      </c>
      <c r="D8" s="114">
        <f>IF($C$4="Base",'⚙️ Assumptions'!C27,IF($C$4="Bear",'⚙️ Assumptions'!D27,'⚙️ Assumptions'!E27))</f>
        <v>0.14000000000000001</v>
      </c>
      <c r="E8" s="114">
        <f>IF($C$4="Base",'⚙️ Assumptions'!C27,IF($C$4="Bear",'⚙️ Assumptions'!D27,'⚙️ Assumptions'!E27))</f>
        <v>0.14000000000000001</v>
      </c>
      <c r="F8" s="114">
        <f>IF($C$4="Base",'⚙️ Assumptions'!C28,IF($C$4="Bear",'⚙️ Assumptions'!D28,'⚙️ Assumptions'!E28))</f>
        <v>0.1</v>
      </c>
      <c r="G8" s="114">
        <f>IF($C$4="Base",'⚙️ Assumptions'!C28,IF($C$4="Bear",'⚙️ Assumptions'!D28,'⚙️ Assumptions'!E28))</f>
        <v>0.1</v>
      </c>
      <c r="H8" s="114">
        <f>IF($C$4="Base",'⚙️ Assumptions'!C28,IF($C$4="Bear",'⚙️ Assumptions'!D28,'⚙️ Assumptions'!E28))</f>
        <v>0.1</v>
      </c>
      <c r="I8" s="114">
        <f>IF($C$4="Base",'⚙️ Assumptions'!C28,IF($C$4="Bear",'⚙️ Assumptions'!D28,'⚙️ Assumptions'!E28))</f>
        <v>0.1</v>
      </c>
      <c r="J8" s="114">
        <f>IF($C$4="Base",'⚙️ Assumptions'!C29,IF($C$4="Bear",'⚙️ Assumptions'!D29,'⚙️ Assumptions'!E29))</f>
        <v>0.06</v>
      </c>
      <c r="K8" s="114">
        <f>IF($C$4="Base",'⚙️ Assumptions'!C29,IF($C$4="Bear",'⚙️ Assumptions'!D29,'⚙️ Assumptions'!E29))</f>
        <v>0.06</v>
      </c>
      <c r="L8" s="114">
        <f>IF($C$4="Base",'⚙️ Assumptions'!C29,IF($C$4="Bear",'⚙️ Assumptions'!D29,'⚙️ Assumptions'!E29))</f>
        <v>0.06</v>
      </c>
      <c r="M8" s="114">
        <f>IF($C$4="Base",'⚙️ Assumptions'!C69,IF($C$4="Bear",'⚙️ Assumptions'!D69,'⚙️ Assumptions'!E69))</f>
        <v>0.03</v>
      </c>
      <c r="N8" s="22"/>
    </row>
    <row r="9" spans="2:14" ht="22.15" customHeight="1" x14ac:dyDescent="0.5">
      <c r="B9" s="87" t="s">
        <v>728</v>
      </c>
      <c r="C9" s="115">
        <f>IF($C$4="Base",'⚙️ Assumptions'!C26,IF($C$4="Bear",'⚙️ Assumptions'!D26,'⚙️ Assumptions'!E26))*(1+C8)</f>
        <v>817293.3600000001</v>
      </c>
      <c r="D9" s="52">
        <f t="shared" ref="D9:M9" si="0">C9*(1+D8)</f>
        <v>931714.43040000019</v>
      </c>
      <c r="E9" s="52">
        <f t="shared" si="0"/>
        <v>1062154.4506560003</v>
      </c>
      <c r="F9" s="52">
        <f t="shared" si="0"/>
        <v>1168369.8957216004</v>
      </c>
      <c r="G9" s="52">
        <f t="shared" si="0"/>
        <v>1285206.8852937606</v>
      </c>
      <c r="H9" s="52">
        <f t="shared" si="0"/>
        <v>1413727.5738231367</v>
      </c>
      <c r="I9" s="52">
        <f t="shared" si="0"/>
        <v>1555100.3312054505</v>
      </c>
      <c r="J9" s="52">
        <f t="shared" si="0"/>
        <v>1648406.3510777776</v>
      </c>
      <c r="K9" s="52">
        <f t="shared" si="0"/>
        <v>1747310.7321424442</v>
      </c>
      <c r="L9" s="52">
        <f t="shared" si="0"/>
        <v>1852149.3760709909</v>
      </c>
      <c r="M9" s="52">
        <f t="shared" si="0"/>
        <v>1907713.8573531208</v>
      </c>
      <c r="N9" s="21"/>
    </row>
    <row r="10" spans="2:14" ht="15.75" customHeight="1" x14ac:dyDescent="0.5">
      <c r="B10" s="3"/>
      <c r="C10" s="3"/>
      <c r="D10" s="3"/>
      <c r="E10" s="3"/>
      <c r="F10" s="3"/>
      <c r="G10" s="3"/>
      <c r="H10" s="3"/>
      <c r="I10" s="3"/>
      <c r="J10" s="3"/>
      <c r="K10" s="3"/>
      <c r="L10" s="3"/>
      <c r="M10" s="3"/>
      <c r="N10" s="3"/>
    </row>
    <row r="11" spans="2:14" ht="22.15" customHeight="1" x14ac:dyDescent="0.5">
      <c r="B11" s="248" t="s">
        <v>767</v>
      </c>
      <c r="C11" s="185"/>
      <c r="D11" s="185"/>
      <c r="E11" s="185"/>
      <c r="F11" s="185"/>
      <c r="G11" s="185"/>
      <c r="H11" s="185"/>
      <c r="I11" s="185"/>
      <c r="J11" s="185"/>
      <c r="K11" s="185"/>
      <c r="L11" s="185"/>
      <c r="M11" s="185"/>
      <c r="N11" s="21"/>
    </row>
    <row r="12" spans="2:14" ht="22.15" customHeight="1" x14ac:dyDescent="0.5">
      <c r="B12" s="105" t="s">
        <v>723</v>
      </c>
      <c r="C12" s="79" t="s">
        <v>755</v>
      </c>
      <c r="D12" s="79" t="s">
        <v>756</v>
      </c>
      <c r="E12" s="79" t="s">
        <v>757</v>
      </c>
      <c r="F12" s="79" t="s">
        <v>758</v>
      </c>
      <c r="G12" s="79" t="s">
        <v>759</v>
      </c>
      <c r="H12" s="79" t="s">
        <v>760</v>
      </c>
      <c r="I12" s="79" t="s">
        <v>761</v>
      </c>
      <c r="J12" s="79" t="s">
        <v>762</v>
      </c>
      <c r="K12" s="79" t="s">
        <v>763</v>
      </c>
      <c r="L12" s="79" t="s">
        <v>764</v>
      </c>
      <c r="M12" s="79" t="s">
        <v>765</v>
      </c>
      <c r="N12" s="22"/>
    </row>
    <row r="13" spans="2:14" ht="22.15" customHeight="1" x14ac:dyDescent="0.5">
      <c r="B13" s="58" t="s">
        <v>768</v>
      </c>
      <c r="C13" s="116">
        <f>(IF($C$4="Base",'⚙️ Assumptions'!C34,IF($C$4="Bear",'⚙️ Assumptions'!D34,'⚙️ Assumptions'!E34))+0*(IF($C$4="Base",'⚙️ Assumptions'!C35,IF($C$4="Bear",'⚙️ Assumptions'!D35,'⚙️ Assumptions'!E35))-IF($C$4="Base",'⚙️ Assumptions'!C34,IF($C$4="Bear",'⚙️ Assumptions'!D34,'⚙️ Assumptions'!E34))))</f>
        <v>0.51</v>
      </c>
      <c r="D13" s="116">
        <f>(IF($C$4="Base",'⚙️ Assumptions'!C34,IF($C$4="Bear",'⚙️ Assumptions'!D34,'⚙️ Assumptions'!E34))+0.25*(IF($C$4="Base",'⚙️ Assumptions'!C35,IF($C$4="Bear",'⚙️ Assumptions'!D35,'⚙️ Assumptions'!E35))-IF($C$4="Base",'⚙️ Assumptions'!C34,IF($C$4="Bear",'⚙️ Assumptions'!D34,'⚙️ Assumptions'!E34))))</f>
        <v>0.51500000000000001</v>
      </c>
      <c r="E13" s="116">
        <f>(IF($C$4="Base",'⚙️ Assumptions'!C34,IF($C$4="Bear",'⚙️ Assumptions'!D34,'⚙️ Assumptions'!E34))+0.5*(IF($C$4="Base",'⚙️ Assumptions'!C35,IF($C$4="Bear",'⚙️ Assumptions'!D35,'⚙️ Assumptions'!E35))-IF($C$4="Base",'⚙️ Assumptions'!C34,IF($C$4="Bear",'⚙️ Assumptions'!D34,'⚙️ Assumptions'!E34))))</f>
        <v>0.52</v>
      </c>
      <c r="F13" s="116">
        <f>(IF($C$4="Base",'⚙️ Assumptions'!C34,IF($C$4="Bear",'⚙️ Assumptions'!D34,'⚙️ Assumptions'!E34))+0.75*(IF($C$4="Base",'⚙️ Assumptions'!C35,IF($C$4="Bear",'⚙️ Assumptions'!D35,'⚙️ Assumptions'!E35))-IF($C$4="Base",'⚙️ Assumptions'!C34,IF($C$4="Bear",'⚙️ Assumptions'!D34,'⚙️ Assumptions'!E34))))</f>
        <v>0.52500000000000002</v>
      </c>
      <c r="G13" s="116">
        <f>(IF($C$4="Base",'⚙️ Assumptions'!C34,IF($C$4="Bear",'⚙️ Assumptions'!D34,'⚙️ Assumptions'!E34))+1*(IF($C$4="Base",'⚙️ Assumptions'!C35,IF($C$4="Bear",'⚙️ Assumptions'!D35,'⚙️ Assumptions'!E35))-IF($C$4="Base",'⚙️ Assumptions'!C34,IF($C$4="Bear",'⚙️ Assumptions'!D34,'⚙️ Assumptions'!E34))))</f>
        <v>0.53</v>
      </c>
      <c r="H13" s="116">
        <f>(IF($C$4="Base",'⚙️ Assumptions'!C35,IF($C$4="Bear",'⚙️ Assumptions'!D35,'⚙️ Assumptions'!E35))+0.2*(IF($C$4="Base",'⚙️ Assumptions'!C36,IF($C$4="Bear",'⚙️ Assumptions'!D36,'⚙️ Assumptions'!E36))-IF($C$4="Base",'⚙️ Assumptions'!C35,IF($C$4="Bear",'⚙️ Assumptions'!D35,'⚙️ Assumptions'!E35))))</f>
        <v>0.53400000000000003</v>
      </c>
      <c r="I13" s="116">
        <f>(IF($C$4="Base",'⚙️ Assumptions'!C35,IF($C$4="Bear",'⚙️ Assumptions'!D35,'⚙️ Assumptions'!E35))+0.4*(IF($C$4="Base",'⚙️ Assumptions'!C36,IF($C$4="Bear",'⚙️ Assumptions'!D36,'⚙️ Assumptions'!E36))-IF($C$4="Base",'⚙️ Assumptions'!C35,IF($C$4="Bear",'⚙️ Assumptions'!D35,'⚙️ Assumptions'!E35))))</f>
        <v>0.53800000000000003</v>
      </c>
      <c r="J13" s="116">
        <f>(IF($C$4="Base",'⚙️ Assumptions'!C35,IF($C$4="Bear",'⚙️ Assumptions'!D35,'⚙️ Assumptions'!E35))+0.6*(IF($C$4="Base",'⚙️ Assumptions'!C36,IF($C$4="Bear",'⚙️ Assumptions'!D36,'⚙️ Assumptions'!E36))-IF($C$4="Base",'⚙️ Assumptions'!C35,IF($C$4="Bear",'⚙️ Assumptions'!D35,'⚙️ Assumptions'!E35))))</f>
        <v>0.54200000000000004</v>
      </c>
      <c r="K13" s="116">
        <f>(IF($C$4="Base",'⚙️ Assumptions'!C35,IF($C$4="Bear",'⚙️ Assumptions'!D35,'⚙️ Assumptions'!E35))+0.8*(IF($C$4="Base",'⚙️ Assumptions'!C36,IF($C$4="Bear",'⚙️ Assumptions'!D36,'⚙️ Assumptions'!E36))-IF($C$4="Base",'⚙️ Assumptions'!C35,IF($C$4="Bear",'⚙️ Assumptions'!D35,'⚙️ Assumptions'!E35))))</f>
        <v>0.54600000000000004</v>
      </c>
      <c r="L13" s="116">
        <f>(IF($C$4="Base",'⚙️ Assumptions'!C35,IF($C$4="Bear",'⚙️ Assumptions'!D35,'⚙️ Assumptions'!E35))+1*(IF($C$4="Base",'⚙️ Assumptions'!C36,IF($C$4="Bear",'⚙️ Assumptions'!D36,'⚙️ Assumptions'!E36))-IF($C$4="Base",'⚙️ Assumptions'!C35,IF($C$4="Bear",'⚙️ Assumptions'!D35,'⚙️ Assumptions'!E35))))</f>
        <v>0.55000000000000004</v>
      </c>
      <c r="M13" s="116">
        <f>IF($C$4="Base",'⚙️ Assumptions'!C36,IF($C$4="Bear",'⚙️ Assumptions'!D36,'⚙️ Assumptions'!E36))</f>
        <v>0.55000000000000004</v>
      </c>
      <c r="N13" s="21"/>
    </row>
    <row r="14" spans="2:14" ht="22.15" customHeight="1" x14ac:dyDescent="0.5">
      <c r="B14" s="45" t="s">
        <v>730</v>
      </c>
      <c r="C14" s="67">
        <f t="shared" ref="C14:M14" si="1">C9*C13</f>
        <v>416819.61360000004</v>
      </c>
      <c r="D14" s="67">
        <f t="shared" si="1"/>
        <v>479832.93165600009</v>
      </c>
      <c r="E14" s="67">
        <f t="shared" si="1"/>
        <v>552320.31434112019</v>
      </c>
      <c r="F14" s="67">
        <f t="shared" si="1"/>
        <v>613394.19525384018</v>
      </c>
      <c r="G14" s="67">
        <f t="shared" si="1"/>
        <v>681159.64920569316</v>
      </c>
      <c r="H14" s="67">
        <f t="shared" si="1"/>
        <v>754930.52442155511</v>
      </c>
      <c r="I14" s="67">
        <f t="shared" si="1"/>
        <v>836643.9781885324</v>
      </c>
      <c r="J14" s="67">
        <f t="shared" si="1"/>
        <v>893436.24228415545</v>
      </c>
      <c r="K14" s="67">
        <f t="shared" si="1"/>
        <v>954031.65974977461</v>
      </c>
      <c r="L14" s="67">
        <f t="shared" si="1"/>
        <v>1018682.1568390451</v>
      </c>
      <c r="M14" s="67">
        <f t="shared" si="1"/>
        <v>1049242.6215442165</v>
      </c>
      <c r="N14" s="22"/>
    </row>
    <row r="15" spans="2:14" ht="22.15" customHeight="1" x14ac:dyDescent="0.5">
      <c r="B15" s="58" t="s">
        <v>769</v>
      </c>
      <c r="C15" s="116">
        <f>(IF($C$4="Base",'⚙️ Assumptions'!C37,IF($C$4="Bear",'⚙️ Assumptions'!D37,'⚙️ Assumptions'!E37))+0*(IF($C$4="Base",'⚙️ Assumptions'!C38,IF($C$4="Bear",'⚙️ Assumptions'!D38,'⚙️ Assumptions'!E38))-IF($C$4="Base",'⚙️ Assumptions'!C37,IF($C$4="Bear",'⚙️ Assumptions'!D37,'⚙️ Assumptions'!E37))))</f>
        <v>0.215</v>
      </c>
      <c r="D15" s="116">
        <f>(IF($C$4="Base",'⚙️ Assumptions'!C37,IF($C$4="Bear",'⚙️ Assumptions'!D37,'⚙️ Assumptions'!E37))+0.25*(IF($C$4="Base",'⚙️ Assumptions'!C38,IF($C$4="Bear",'⚙️ Assumptions'!D38,'⚙️ Assumptions'!E38))-IF($C$4="Base",'⚙️ Assumptions'!C37,IF($C$4="Bear",'⚙️ Assumptions'!D37,'⚙️ Assumptions'!E37))))</f>
        <v>0.22375</v>
      </c>
      <c r="E15" s="116">
        <f>(IF($C$4="Base",'⚙️ Assumptions'!C37,IF($C$4="Bear",'⚙️ Assumptions'!D37,'⚙️ Assumptions'!E37))+0.5*(IF($C$4="Base",'⚙️ Assumptions'!C38,IF($C$4="Bear",'⚙️ Assumptions'!D38,'⚙️ Assumptions'!E38))-IF($C$4="Base",'⚙️ Assumptions'!C37,IF($C$4="Bear",'⚙️ Assumptions'!D37,'⚙️ Assumptions'!E37))))</f>
        <v>0.23249999999999998</v>
      </c>
      <c r="F15" s="116">
        <f>(IF($C$4="Base",'⚙️ Assumptions'!C37,IF($C$4="Bear",'⚙️ Assumptions'!D37,'⚙️ Assumptions'!E37))+0.75*(IF($C$4="Base",'⚙️ Assumptions'!C38,IF($C$4="Bear",'⚙️ Assumptions'!D38,'⚙️ Assumptions'!E38))-IF($C$4="Base",'⚙️ Assumptions'!C37,IF($C$4="Bear",'⚙️ Assumptions'!D37,'⚙️ Assumptions'!E37))))</f>
        <v>0.24124999999999999</v>
      </c>
      <c r="G15" s="116">
        <f>(IF($C$4="Base",'⚙️ Assumptions'!C37,IF($C$4="Bear",'⚙️ Assumptions'!D37,'⚙️ Assumptions'!E37))+1*(IF($C$4="Base",'⚙️ Assumptions'!C38,IF($C$4="Bear",'⚙️ Assumptions'!D38,'⚙️ Assumptions'!E38))-IF($C$4="Base",'⚙️ Assumptions'!C37,IF($C$4="Bear",'⚙️ Assumptions'!D37,'⚙️ Assumptions'!E37))))</f>
        <v>0.25</v>
      </c>
      <c r="H15" s="116">
        <f>(IF($C$4="Base",'⚙️ Assumptions'!C38,IF($C$4="Bear",'⚙️ Assumptions'!D38,'⚙️ Assumptions'!E38))+0.2*(IF($C$4="Base",'⚙️ Assumptions'!C39,IF($C$4="Bear",'⚙️ Assumptions'!D39,'⚙️ Assumptions'!E39))-IF($C$4="Base",'⚙️ Assumptions'!C38,IF($C$4="Bear",'⚙️ Assumptions'!D38,'⚙️ Assumptions'!E38))))</f>
        <v>0.254</v>
      </c>
      <c r="I15" s="116">
        <f>(IF($C$4="Base",'⚙️ Assumptions'!C38,IF($C$4="Bear",'⚙️ Assumptions'!D38,'⚙️ Assumptions'!E38))+0.4*(IF($C$4="Base",'⚙️ Assumptions'!C39,IF($C$4="Bear",'⚙️ Assumptions'!D39,'⚙️ Assumptions'!E39))-IF($C$4="Base",'⚙️ Assumptions'!C38,IF($C$4="Bear",'⚙️ Assumptions'!D38,'⚙️ Assumptions'!E38))))</f>
        <v>0.25800000000000001</v>
      </c>
      <c r="J15" s="116">
        <f>(IF($C$4="Base",'⚙️ Assumptions'!C38,IF($C$4="Bear",'⚙️ Assumptions'!D38,'⚙️ Assumptions'!E38))+0.6*(IF($C$4="Base",'⚙️ Assumptions'!C39,IF($C$4="Bear",'⚙️ Assumptions'!D39,'⚙️ Assumptions'!E39))-IF($C$4="Base",'⚙️ Assumptions'!C38,IF($C$4="Bear",'⚙️ Assumptions'!D38,'⚙️ Assumptions'!E38))))</f>
        <v>0.26200000000000001</v>
      </c>
      <c r="K15" s="116">
        <f>(IF($C$4="Base",'⚙️ Assumptions'!C38,IF($C$4="Bear",'⚙️ Assumptions'!D38,'⚙️ Assumptions'!E38))+0.8*(IF($C$4="Base",'⚙️ Assumptions'!C39,IF($C$4="Bear",'⚙️ Assumptions'!D39,'⚙️ Assumptions'!E39))-IF($C$4="Base",'⚙️ Assumptions'!C38,IF($C$4="Bear",'⚙️ Assumptions'!D38,'⚙️ Assumptions'!E38))))</f>
        <v>0.26600000000000001</v>
      </c>
      <c r="L15" s="116">
        <f>(IF($C$4="Base",'⚙️ Assumptions'!C38,IF($C$4="Bear",'⚙️ Assumptions'!D38,'⚙️ Assumptions'!E38))+1*(IF($C$4="Base",'⚙️ Assumptions'!C39,IF($C$4="Bear",'⚙️ Assumptions'!D39,'⚙️ Assumptions'!E39))-IF($C$4="Base",'⚙️ Assumptions'!C38,IF($C$4="Bear",'⚙️ Assumptions'!D38,'⚙️ Assumptions'!E38))))</f>
        <v>0.27</v>
      </c>
      <c r="M15" s="116">
        <f>IF($C$4="Base",'⚙️ Assumptions'!C70,IF($C$4="Bear",'⚙️ Assumptions'!D70,'⚙️ Assumptions'!E70))</f>
        <v>0.28000000000000003</v>
      </c>
      <c r="N15" s="21"/>
    </row>
    <row r="16" spans="2:14" ht="22.15" customHeight="1" x14ac:dyDescent="0.5">
      <c r="B16" s="90" t="s">
        <v>733</v>
      </c>
      <c r="C16" s="51">
        <f t="shared" ref="C16:M16" si="2">C9*C15</f>
        <v>175718.07240000003</v>
      </c>
      <c r="D16" s="51">
        <f t="shared" si="2"/>
        <v>208471.10380200006</v>
      </c>
      <c r="E16" s="51">
        <f t="shared" si="2"/>
        <v>246950.90977752005</v>
      </c>
      <c r="F16" s="51">
        <f t="shared" si="2"/>
        <v>281869.2373428361</v>
      </c>
      <c r="G16" s="51">
        <f t="shared" si="2"/>
        <v>321301.72132344014</v>
      </c>
      <c r="H16" s="51">
        <f t="shared" si="2"/>
        <v>359086.80375107675</v>
      </c>
      <c r="I16" s="51">
        <f t="shared" si="2"/>
        <v>401215.88545100624</v>
      </c>
      <c r="J16" s="51">
        <f t="shared" si="2"/>
        <v>431882.46398237773</v>
      </c>
      <c r="K16" s="51">
        <f t="shared" si="2"/>
        <v>464784.65474989021</v>
      </c>
      <c r="L16" s="51">
        <f t="shared" si="2"/>
        <v>500080.33153916756</v>
      </c>
      <c r="M16" s="51">
        <f t="shared" si="2"/>
        <v>534159.88005887391</v>
      </c>
      <c r="N16" s="22"/>
    </row>
    <row r="17" spans="2:14" ht="22.15" customHeight="1" x14ac:dyDescent="0.5">
      <c r="B17" s="47" t="s">
        <v>770</v>
      </c>
      <c r="C17" s="117">
        <f>C9*IF($C$4="Base",'⚙️ Assumptions'!C40,IF($C$4="Bear",'⚙️ Assumptions'!D40,'⚙️ Assumptions'!E40))</f>
        <v>81729.33600000001</v>
      </c>
      <c r="D17" s="117">
        <f>D9*IF($C$4="Base",'⚙️ Assumptions'!C40,IF($C$4="Bear",'⚙️ Assumptions'!D40,'⚙️ Assumptions'!E40))</f>
        <v>93171.443040000027</v>
      </c>
      <c r="E17" s="117">
        <f>E9*IF($C$4="Base",'⚙️ Assumptions'!C40,IF($C$4="Bear",'⚙️ Assumptions'!D40,'⚙️ Assumptions'!E40))</f>
        <v>106215.44506560004</v>
      </c>
      <c r="F17" s="117">
        <f>F9*IF($C$4="Base",'⚙️ Assumptions'!C40,IF($C$4="Bear",'⚙️ Assumptions'!D40,'⚙️ Assumptions'!E40))</f>
        <v>116836.98957216005</v>
      </c>
      <c r="G17" s="117">
        <f>G9*IF($C$4="Base",'⚙️ Assumptions'!C40,IF($C$4="Bear",'⚙️ Assumptions'!D40,'⚙️ Assumptions'!E40))</f>
        <v>128520.68852937606</v>
      </c>
      <c r="H17" s="117">
        <f>H9*IF($C$4="Base",'⚙️ Assumptions'!C40,IF($C$4="Bear",'⚙️ Assumptions'!D40,'⚙️ Assumptions'!E40))</f>
        <v>141372.75738231369</v>
      </c>
      <c r="I17" s="117">
        <f>I9*IF($C$4="Base",'⚙️ Assumptions'!C40,IF($C$4="Bear",'⚙️ Assumptions'!D40,'⚙️ Assumptions'!E40))</f>
        <v>155510.03312054506</v>
      </c>
      <c r="J17" s="117">
        <f>J9*IF($C$4="Base",'⚙️ Assumptions'!C40,IF($C$4="Bear",'⚙️ Assumptions'!D40,'⚙️ Assumptions'!E40))</f>
        <v>164840.63510777778</v>
      </c>
      <c r="K17" s="117">
        <f>K9*IF($C$4="Base",'⚙️ Assumptions'!C40,IF($C$4="Bear",'⚙️ Assumptions'!D40,'⚙️ Assumptions'!E40))</f>
        <v>174731.07321424445</v>
      </c>
      <c r="L17" s="117">
        <f>L9*IF($C$4="Base",'⚙️ Assumptions'!C40,IF($C$4="Bear",'⚙️ Assumptions'!D40,'⚙️ Assumptions'!E40))</f>
        <v>185214.9376070991</v>
      </c>
      <c r="M17" s="117">
        <f>M9*IF($C$4="Base",'⚙️ Assumptions'!C40,IF($C$4="Bear",'⚙️ Assumptions'!D40,'⚙️ Assumptions'!E40))</f>
        <v>190771.3857353121</v>
      </c>
      <c r="N17" s="21"/>
    </row>
    <row r="18" spans="2:14" ht="22.15" customHeight="1" x14ac:dyDescent="0.5">
      <c r="B18" s="90" t="s">
        <v>735</v>
      </c>
      <c r="C18" s="51">
        <f t="shared" ref="C18:M18" si="3">C16-C17</f>
        <v>93988.736400000023</v>
      </c>
      <c r="D18" s="51">
        <f t="shared" si="3"/>
        <v>115299.66076200003</v>
      </c>
      <c r="E18" s="51">
        <f t="shared" si="3"/>
        <v>140735.46471192001</v>
      </c>
      <c r="F18" s="51">
        <f t="shared" si="3"/>
        <v>165032.24777067604</v>
      </c>
      <c r="G18" s="51">
        <f t="shared" si="3"/>
        <v>192781.03279406409</v>
      </c>
      <c r="H18" s="51">
        <f t="shared" si="3"/>
        <v>217714.04636876305</v>
      </c>
      <c r="I18" s="51">
        <f t="shared" si="3"/>
        <v>245705.85233046117</v>
      </c>
      <c r="J18" s="51">
        <f t="shared" si="3"/>
        <v>267041.82887459995</v>
      </c>
      <c r="K18" s="51">
        <f t="shared" si="3"/>
        <v>290053.58153564576</v>
      </c>
      <c r="L18" s="51">
        <f t="shared" si="3"/>
        <v>314865.39393206849</v>
      </c>
      <c r="M18" s="51">
        <f t="shared" si="3"/>
        <v>343388.49432356178</v>
      </c>
      <c r="N18" s="22"/>
    </row>
    <row r="19" spans="2:14" ht="22.15" customHeight="1" x14ac:dyDescent="0.5">
      <c r="B19" s="58" t="s">
        <v>736</v>
      </c>
      <c r="C19" s="59">
        <f t="shared" ref="C19:M19" si="4">IFERROR(C18/C9,0)</f>
        <v>0.11500000000000002</v>
      </c>
      <c r="D19" s="59">
        <f t="shared" si="4"/>
        <v>0.12375000000000001</v>
      </c>
      <c r="E19" s="59">
        <f t="shared" si="4"/>
        <v>0.13249999999999998</v>
      </c>
      <c r="F19" s="59">
        <f t="shared" si="4"/>
        <v>0.14124999999999999</v>
      </c>
      <c r="G19" s="59">
        <f t="shared" si="4"/>
        <v>0.15</v>
      </c>
      <c r="H19" s="59">
        <f t="shared" si="4"/>
        <v>0.154</v>
      </c>
      <c r="I19" s="59">
        <f t="shared" si="4"/>
        <v>0.158</v>
      </c>
      <c r="J19" s="59">
        <f t="shared" si="4"/>
        <v>0.16199999999999998</v>
      </c>
      <c r="K19" s="59">
        <f t="shared" si="4"/>
        <v>0.16600000000000001</v>
      </c>
      <c r="L19" s="59">
        <f t="shared" si="4"/>
        <v>0.17</v>
      </c>
      <c r="M19" s="59">
        <f t="shared" si="4"/>
        <v>0.18000000000000002</v>
      </c>
      <c r="N19" s="21"/>
    </row>
    <row r="20" spans="2:14" ht="22.15" customHeight="1" x14ac:dyDescent="0.5">
      <c r="B20" s="45" t="s">
        <v>771</v>
      </c>
      <c r="C20" s="118">
        <f>C18*(IF($C$4="Base",'⚙️ Assumptions'!C43,IF($C$4="Bear",'⚙️ Assumptions'!D43,'⚙️ Assumptions'!E43))-IF($C$4="Base",'⚙️ Assumptions'!C44,IF($C$4="Bear",'⚙️ Assumptions'!D44,'⚙️ Assumptions'!E44)))</f>
        <v>18797.747280000003</v>
      </c>
      <c r="D20" s="118">
        <f>D18*(IF($C$4="Base",'⚙️ Assumptions'!C43,IF($C$4="Bear",'⚙️ Assumptions'!D43,'⚙️ Assumptions'!E43))-IF($C$4="Base",'⚙️ Assumptions'!C44,IF($C$4="Bear",'⚙️ Assumptions'!D44,'⚙️ Assumptions'!E44)))</f>
        <v>23059.932152400004</v>
      </c>
      <c r="E20" s="118">
        <f>E18*(IF($C$4="Base",'⚙️ Assumptions'!C43,IF($C$4="Bear",'⚙️ Assumptions'!D43,'⚙️ Assumptions'!E43))-IF($C$4="Base",'⚙️ Assumptions'!C44,IF($C$4="Bear",'⚙️ Assumptions'!D44,'⚙️ Assumptions'!E44)))</f>
        <v>28147.092942383999</v>
      </c>
      <c r="F20" s="118">
        <f>F18*IF($C$4="Base",'⚙️ Assumptions'!C43,IF($C$4="Bear",'⚙️ Assumptions'!D43,'⚙️ Assumptions'!E43))</f>
        <v>34656.772031841967</v>
      </c>
      <c r="G20" s="118">
        <f>G18*IF($C$4="Base",'⚙️ Assumptions'!C43,IF($C$4="Bear",'⚙️ Assumptions'!D43,'⚙️ Assumptions'!E43))</f>
        <v>40484.016886753459</v>
      </c>
      <c r="H20" s="118">
        <f>H18*IF($C$4="Base",'⚙️ Assumptions'!C43,IF($C$4="Bear",'⚙️ Assumptions'!D43,'⚙️ Assumptions'!E43))</f>
        <v>45719.949737440242</v>
      </c>
      <c r="I20" s="118">
        <f>I18*IF($C$4="Base",'⚙️ Assumptions'!C43,IF($C$4="Bear",'⚙️ Assumptions'!D43,'⚙️ Assumptions'!E43))</f>
        <v>51598.228989396841</v>
      </c>
      <c r="J20" s="118">
        <f>J18*IF($C$4="Base",'⚙️ Assumptions'!C43,IF($C$4="Bear",'⚙️ Assumptions'!D43,'⚙️ Assumptions'!E43))</f>
        <v>56078.784063665989</v>
      </c>
      <c r="K20" s="118">
        <f>K18*IF($C$4="Base",'⚙️ Assumptions'!C43,IF($C$4="Bear",'⚙️ Assumptions'!D43,'⚙️ Assumptions'!E43))</f>
        <v>60911.25212248561</v>
      </c>
      <c r="L20" s="118">
        <f>L18*IF($C$4="Base",'⚙️ Assumptions'!C43,IF($C$4="Bear",'⚙️ Assumptions'!D43,'⚙️ Assumptions'!E43))</f>
        <v>66121.732725734386</v>
      </c>
      <c r="M20" s="118">
        <f>M18*IF($C$4="Base",'⚙️ Assumptions'!C43,IF($C$4="Bear",'⚙️ Assumptions'!D43,'⚙️ Assumptions'!E43))</f>
        <v>72111.583807947973</v>
      </c>
      <c r="N20" s="22"/>
    </row>
    <row r="21" spans="2:14" ht="22.15" customHeight="1" x14ac:dyDescent="0.5">
      <c r="B21" s="87" t="s">
        <v>772</v>
      </c>
      <c r="C21" s="52">
        <f t="shared" ref="C21:M21" si="5">C18-C20</f>
        <v>75190.989120000013</v>
      </c>
      <c r="D21" s="52">
        <f t="shared" si="5"/>
        <v>92239.728609600017</v>
      </c>
      <c r="E21" s="52">
        <f t="shared" si="5"/>
        <v>112588.37176953601</v>
      </c>
      <c r="F21" s="52">
        <f t="shared" si="5"/>
        <v>130375.47573883407</v>
      </c>
      <c r="G21" s="52">
        <f t="shared" si="5"/>
        <v>152297.01590731062</v>
      </c>
      <c r="H21" s="52">
        <f t="shared" si="5"/>
        <v>171994.09663132281</v>
      </c>
      <c r="I21" s="52">
        <f t="shared" si="5"/>
        <v>194107.62334106432</v>
      </c>
      <c r="J21" s="52">
        <f t="shared" si="5"/>
        <v>210963.04481093396</v>
      </c>
      <c r="K21" s="52">
        <f t="shared" si="5"/>
        <v>229142.32941316016</v>
      </c>
      <c r="L21" s="52">
        <f t="shared" si="5"/>
        <v>248743.6612063341</v>
      </c>
      <c r="M21" s="52">
        <f t="shared" si="5"/>
        <v>271276.9105156138</v>
      </c>
      <c r="N21" s="21"/>
    </row>
    <row r="22" spans="2:14" ht="15.75" customHeight="1" x14ac:dyDescent="0.5">
      <c r="B22" s="3"/>
      <c r="C22" s="3"/>
      <c r="D22" s="3"/>
      <c r="E22" s="3"/>
      <c r="F22" s="3"/>
      <c r="G22" s="3"/>
      <c r="H22" s="3"/>
      <c r="I22" s="3"/>
      <c r="J22" s="3"/>
      <c r="K22" s="3"/>
      <c r="L22" s="3"/>
      <c r="M22" s="3"/>
      <c r="N22" s="3"/>
    </row>
    <row r="23" spans="2:14" ht="22.15" customHeight="1" x14ac:dyDescent="0.5">
      <c r="B23" s="248" t="s">
        <v>773</v>
      </c>
      <c r="C23" s="185"/>
      <c r="D23" s="185"/>
      <c r="E23" s="185"/>
      <c r="F23" s="185"/>
      <c r="G23" s="185"/>
      <c r="H23" s="185"/>
      <c r="I23" s="185"/>
      <c r="J23" s="185"/>
      <c r="K23" s="185"/>
      <c r="L23" s="185"/>
      <c r="M23" s="185"/>
      <c r="N23" s="21"/>
    </row>
    <row r="24" spans="2:14" ht="22.15" customHeight="1" x14ac:dyDescent="0.5">
      <c r="B24" s="105" t="s">
        <v>723</v>
      </c>
      <c r="C24" s="79" t="s">
        <v>755</v>
      </c>
      <c r="D24" s="79" t="s">
        <v>756</v>
      </c>
      <c r="E24" s="79" t="s">
        <v>757</v>
      </c>
      <c r="F24" s="79" t="s">
        <v>758</v>
      </c>
      <c r="G24" s="79" t="s">
        <v>759</v>
      </c>
      <c r="H24" s="79" t="s">
        <v>760</v>
      </c>
      <c r="I24" s="79" t="s">
        <v>761</v>
      </c>
      <c r="J24" s="79" t="s">
        <v>762</v>
      </c>
      <c r="K24" s="79" t="s">
        <v>763</v>
      </c>
      <c r="L24" s="79" t="s">
        <v>764</v>
      </c>
      <c r="M24" s="79" t="s">
        <v>765</v>
      </c>
      <c r="N24" s="22"/>
    </row>
    <row r="25" spans="2:14" ht="22.15" customHeight="1" x14ac:dyDescent="0.5">
      <c r="B25" s="47" t="s">
        <v>774</v>
      </c>
      <c r="C25" s="68">
        <f t="shared" ref="C25:M25" si="6">C21</f>
        <v>75190.989120000013</v>
      </c>
      <c r="D25" s="68">
        <f t="shared" si="6"/>
        <v>92239.728609600017</v>
      </c>
      <c r="E25" s="68">
        <f t="shared" si="6"/>
        <v>112588.37176953601</v>
      </c>
      <c r="F25" s="68">
        <f t="shared" si="6"/>
        <v>130375.47573883407</v>
      </c>
      <c r="G25" s="68">
        <f t="shared" si="6"/>
        <v>152297.01590731062</v>
      </c>
      <c r="H25" s="68">
        <f t="shared" si="6"/>
        <v>171994.09663132281</v>
      </c>
      <c r="I25" s="68">
        <f t="shared" si="6"/>
        <v>194107.62334106432</v>
      </c>
      <c r="J25" s="68">
        <f t="shared" si="6"/>
        <v>210963.04481093396</v>
      </c>
      <c r="K25" s="68">
        <f t="shared" si="6"/>
        <v>229142.32941316016</v>
      </c>
      <c r="L25" s="68">
        <f t="shared" si="6"/>
        <v>248743.6612063341</v>
      </c>
      <c r="M25" s="68">
        <f t="shared" si="6"/>
        <v>271276.9105156138</v>
      </c>
      <c r="N25" s="21"/>
    </row>
    <row r="26" spans="2:14" ht="22.15" customHeight="1" x14ac:dyDescent="0.5">
      <c r="B26" s="45" t="s">
        <v>775</v>
      </c>
      <c r="C26" s="67">
        <f t="shared" ref="C26:M26" si="7">C17</f>
        <v>81729.33600000001</v>
      </c>
      <c r="D26" s="67">
        <f t="shared" si="7"/>
        <v>93171.443040000027</v>
      </c>
      <c r="E26" s="67">
        <f t="shared" si="7"/>
        <v>106215.44506560004</v>
      </c>
      <c r="F26" s="67">
        <f t="shared" si="7"/>
        <v>116836.98957216005</v>
      </c>
      <c r="G26" s="67">
        <f t="shared" si="7"/>
        <v>128520.68852937606</v>
      </c>
      <c r="H26" s="67">
        <f t="shared" si="7"/>
        <v>141372.75738231369</v>
      </c>
      <c r="I26" s="67">
        <f t="shared" si="7"/>
        <v>155510.03312054506</v>
      </c>
      <c r="J26" s="67">
        <f t="shared" si="7"/>
        <v>164840.63510777778</v>
      </c>
      <c r="K26" s="67">
        <f t="shared" si="7"/>
        <v>174731.07321424445</v>
      </c>
      <c r="L26" s="67">
        <f t="shared" si="7"/>
        <v>185214.9376070991</v>
      </c>
      <c r="M26" s="67">
        <f t="shared" si="7"/>
        <v>190771.3857353121</v>
      </c>
      <c r="N26" s="22"/>
    </row>
    <row r="27" spans="2:14" ht="22.15" customHeight="1" x14ac:dyDescent="0.5">
      <c r="B27" s="47" t="s">
        <v>776</v>
      </c>
      <c r="C27" s="117">
        <f>-C9*IF($C$4="Base",'⚙️ Assumptions'!C47,IF($C$4="Bear",'⚙️ Assumptions'!D47,'⚙️ Assumptions'!E47))</f>
        <v>-163458.67200000002</v>
      </c>
      <c r="D27" s="117">
        <f>-D9*IF($C$4="Base",'⚙️ Assumptions'!C47,IF($C$4="Bear",'⚙️ Assumptions'!D47,'⚙️ Assumptions'!E47))</f>
        <v>-186342.88608000005</v>
      </c>
      <c r="E27" s="117">
        <f>-E9*IF($C$4="Base",'⚙️ Assumptions'!C47,IF($C$4="Bear",'⚙️ Assumptions'!D47,'⚙️ Assumptions'!E47))</f>
        <v>-212430.89013120008</v>
      </c>
      <c r="F27" s="117">
        <f>-F9*IF($C$4="Base",'⚙️ Assumptions'!C48,IF($C$4="Bear",'⚙️ Assumptions'!D48,'⚙️ Assumptions'!E48))</f>
        <v>-146046.23696520005</v>
      </c>
      <c r="G27" s="117">
        <f>-G9*IF($C$4="Base",'⚙️ Assumptions'!C48,IF($C$4="Bear",'⚙️ Assumptions'!D48,'⚙️ Assumptions'!E48))</f>
        <v>-160650.86066172007</v>
      </c>
      <c r="H27" s="117">
        <f>-H9*IF($C$4="Base",'⚙️ Assumptions'!C48,IF($C$4="Bear",'⚙️ Assumptions'!D48,'⚙️ Assumptions'!E48))</f>
        <v>-176715.94672789209</v>
      </c>
      <c r="I27" s="117">
        <f>-I9*IF($C$4="Base",'⚙️ Assumptions'!C48,IF($C$4="Bear",'⚙️ Assumptions'!D48,'⚙️ Assumptions'!E48))</f>
        <v>-194387.54140068131</v>
      </c>
      <c r="J27" s="117">
        <f>-J9*IF($C$4="Base",'⚙️ Assumptions'!C49,IF($C$4="Bear",'⚙️ Assumptions'!D49,'⚙️ Assumptions'!E49))</f>
        <v>-164840.63510777778</v>
      </c>
      <c r="K27" s="117">
        <f>-K9*IF($C$4="Base",'⚙️ Assumptions'!C49,IF($C$4="Bear",'⚙️ Assumptions'!D49,'⚙️ Assumptions'!E49))</f>
        <v>-174731.07321424445</v>
      </c>
      <c r="L27" s="117">
        <f>-L9*IF($C$4="Base",'⚙️ Assumptions'!C49,IF($C$4="Bear",'⚙️ Assumptions'!D49,'⚙️ Assumptions'!E49))</f>
        <v>-185214.9376070991</v>
      </c>
      <c r="M27" s="117">
        <f>-M9*IF($C$4="Base",'⚙️ Assumptions'!C71,IF($C$4="Bear",'⚙️ Assumptions'!D71,'⚙️ Assumptions'!E71))</f>
        <v>-200309.95502207769</v>
      </c>
      <c r="N27" s="21"/>
    </row>
    <row r="28" spans="2:14" ht="22.15" customHeight="1" x14ac:dyDescent="0.5">
      <c r="B28" s="45" t="s">
        <v>777</v>
      </c>
      <c r="C28" s="118">
        <f>-(C9-IF($C$4="Base",'⚙️ Assumptions'!C26,IF($C$4="Bear",'⚙️ Assumptions'!D26,'⚙️ Assumptions'!E26)))*IF($C$4="Base",'⚙️ Assumptions'!C50,IF($C$4="Bear",'⚙️ Assumptions'!D50,'⚙️ Assumptions'!E50))</f>
        <v>-3011.0808000000029</v>
      </c>
      <c r="D28" s="118">
        <f>-(D9-C9)*IF($C$4="Base",'⚙️ Assumptions'!C50,IF($C$4="Bear",'⚙️ Assumptions'!D50,'⚙️ Assumptions'!E50))</f>
        <v>-3432.6321120000025</v>
      </c>
      <c r="E28" s="118">
        <f>-(E9-D9)*IF($C$4="Base",'⚙️ Assumptions'!C50,IF($C$4="Bear",'⚙️ Assumptions'!D50,'⚙️ Assumptions'!E50))</f>
        <v>-3913.200607680003</v>
      </c>
      <c r="F28" s="118">
        <f>-(F9-E9)*IF($C$4="Base",'⚙️ Assumptions'!C50,IF($C$4="Bear",'⚙️ Assumptions'!D50,'⚙️ Assumptions'!E50))</f>
        <v>-3186.4633519680028</v>
      </c>
      <c r="G28" s="118">
        <f>-(G9-F9)*IF($C$4="Base",'⚙️ Assumptions'!C50,IF($C$4="Bear",'⚙️ Assumptions'!D50,'⚙️ Assumptions'!E50))</f>
        <v>-3505.1096871648051</v>
      </c>
      <c r="H28" s="118">
        <f>-(H9-G9)*IF($C$4="Base",'⚙️ Assumptions'!C50,IF($C$4="Bear",'⚙️ Assumptions'!D50,'⚙️ Assumptions'!E50))</f>
        <v>-3855.6206558812851</v>
      </c>
      <c r="I28" s="118">
        <f>-(I9-H9)*IF($C$4="Base",'⚙️ Assumptions'!C50,IF($C$4="Bear",'⚙️ Assumptions'!D50,'⚙️ Assumptions'!E50))</f>
        <v>-4241.1827214694113</v>
      </c>
      <c r="J28" s="118">
        <f>-(J9-I9)*IF($C$4="Base",'⚙️ Assumptions'!C50,IF($C$4="Bear",'⚙️ Assumptions'!D50,'⚙️ Assumptions'!E50))</f>
        <v>-2799.1805961698128</v>
      </c>
      <c r="K28" s="118">
        <f>-(K9-J9)*IF($C$4="Base",'⚙️ Assumptions'!C50,IF($C$4="Bear",'⚙️ Assumptions'!D50,'⚙️ Assumptions'!E50))</f>
        <v>-2967.1314319399999</v>
      </c>
      <c r="L28" s="118">
        <f>-(L9-K9)*IF($C$4="Base",'⚙️ Assumptions'!C50,IF($C$4="Bear",'⚙️ Assumptions'!D50,'⚙️ Assumptions'!E50))</f>
        <v>-3145.1593178564008</v>
      </c>
      <c r="M28" s="118">
        <f>-(M9-L9)*IF($C$4="Base",'⚙️ Assumptions'!C50,IF($C$4="Bear",'⚙️ Assumptions'!D50,'⚙️ Assumptions'!E50))</f>
        <v>-1666.9344384638964</v>
      </c>
      <c r="N28" s="22"/>
    </row>
    <row r="29" spans="2:14" ht="22.15" customHeight="1" x14ac:dyDescent="0.5">
      <c r="B29" s="47" t="s">
        <v>778</v>
      </c>
      <c r="C29" s="117">
        <f>-C9*IF($C$4="Base",'⚙️ Assumptions'!C52,IF($C$4="Bear",'⚙️ Assumptions'!D52,'⚙️ Assumptions'!E52))</f>
        <v>-4086.4668000000006</v>
      </c>
      <c r="D29" s="117">
        <f>-D9*IF($C$4="Base",'⚙️ Assumptions'!C52,IF($C$4="Bear",'⚙️ Assumptions'!D52,'⚙️ Assumptions'!E52))</f>
        <v>-4658.5721520000006</v>
      </c>
      <c r="E29" s="117">
        <f>-E9*IF($C$4="Base",'⚙️ Assumptions'!C52,IF($C$4="Bear",'⚙️ Assumptions'!D52,'⚙️ Assumptions'!E52))</f>
        <v>-5310.7722532800017</v>
      </c>
      <c r="F29" s="117">
        <f>-F9*IF($C$4="Base",'⚙️ Assumptions'!C52,IF($C$4="Bear",'⚙️ Assumptions'!D52,'⚙️ Assumptions'!E52))</f>
        <v>-5841.8494786080018</v>
      </c>
      <c r="G29" s="117">
        <f>-G9*IF($C$4="Base",'⚙️ Assumptions'!C52,IF($C$4="Bear",'⚙️ Assumptions'!D52,'⚙️ Assumptions'!E52))</f>
        <v>-6426.0344264688028</v>
      </c>
      <c r="H29" s="117">
        <f>-H9*IF($C$4="Base",'⚙️ Assumptions'!C52,IF($C$4="Bear",'⚙️ Assumptions'!D52,'⚙️ Assumptions'!E52))</f>
        <v>-7068.6378691156842</v>
      </c>
      <c r="I29" s="117">
        <f>-I9*IF($C$4="Base",'⚙️ Assumptions'!C52,IF($C$4="Bear",'⚙️ Assumptions'!D52,'⚙️ Assumptions'!E52))</f>
        <v>-7775.5016560272525</v>
      </c>
      <c r="J29" s="117">
        <f>-J9*IF($C$4="Base",'⚙️ Assumptions'!C52,IF($C$4="Bear",'⚙️ Assumptions'!D52,'⚙️ Assumptions'!E52))</f>
        <v>-8242.0317553888872</v>
      </c>
      <c r="K29" s="117">
        <f>-K9*IF($C$4="Base",'⚙️ Assumptions'!C52,IF($C$4="Bear",'⚙️ Assumptions'!D52,'⚙️ Assumptions'!E52))</f>
        <v>-8736.5536607122212</v>
      </c>
      <c r="L29" s="117">
        <f>-L9*IF($C$4="Base",'⚙️ Assumptions'!C52,IF($C$4="Bear",'⚙️ Assumptions'!D52,'⚙️ Assumptions'!E52))</f>
        <v>-9260.7468803549546</v>
      </c>
      <c r="M29" s="117">
        <f>-M9*IF($C$4="Base",'⚙️ Assumptions'!C52,IF($C$4="Bear",'⚙️ Assumptions'!D52,'⚙️ Assumptions'!E52))</f>
        <v>-9538.5692867656035</v>
      </c>
      <c r="N29" s="21"/>
    </row>
    <row r="30" spans="2:14" ht="22.15" customHeight="1" x14ac:dyDescent="0.5">
      <c r="B30" s="90" t="s">
        <v>779</v>
      </c>
      <c r="C30" s="51">
        <f t="shared" ref="C30:M30" si="8">SUM(C25:C29)</f>
        <v>-13635.894480000001</v>
      </c>
      <c r="D30" s="51">
        <f t="shared" si="8"/>
        <v>-9022.9186944000285</v>
      </c>
      <c r="E30" s="51">
        <f t="shared" si="8"/>
        <v>-2851.04615702405</v>
      </c>
      <c r="F30" s="51">
        <f t="shared" si="8"/>
        <v>92137.915515218076</v>
      </c>
      <c r="G30" s="51">
        <f t="shared" si="8"/>
        <v>110235.69966133303</v>
      </c>
      <c r="H30" s="51">
        <f t="shared" si="8"/>
        <v>125726.6487607474</v>
      </c>
      <c r="I30" s="51">
        <f t="shared" si="8"/>
        <v>143213.43068343145</v>
      </c>
      <c r="J30" s="51">
        <f t="shared" si="8"/>
        <v>199921.83245937529</v>
      </c>
      <c r="K30" s="51">
        <f t="shared" si="8"/>
        <v>217438.64432050791</v>
      </c>
      <c r="L30" s="51">
        <f t="shared" si="8"/>
        <v>236337.75500812277</v>
      </c>
      <c r="M30" s="51">
        <f t="shared" si="8"/>
        <v>250532.83750361868</v>
      </c>
      <c r="N30" s="22"/>
    </row>
    <row r="31" spans="2:14" ht="22.15" customHeight="1" x14ac:dyDescent="0.5">
      <c r="B31" s="58" t="s">
        <v>780</v>
      </c>
      <c r="C31" s="59">
        <f t="shared" ref="C31:M31" si="9">IFERROR(C30/C9,0)</f>
        <v>-1.6684210526315787E-2</v>
      </c>
      <c r="D31" s="59">
        <f t="shared" si="9"/>
        <v>-9.6842105263158177E-3</v>
      </c>
      <c r="E31" s="59">
        <f t="shared" si="9"/>
        <v>-2.6842105263158358E-3</v>
      </c>
      <c r="F31" s="59">
        <f t="shared" si="9"/>
        <v>7.8860227272727276E-2</v>
      </c>
      <c r="G31" s="59">
        <f t="shared" si="9"/>
        <v>8.5772727272727292E-2</v>
      </c>
      <c r="H31" s="59">
        <f t="shared" si="9"/>
        <v>8.8932727272727247E-2</v>
      </c>
      <c r="I31" s="59">
        <f t="shared" si="9"/>
        <v>9.2092727272727298E-2</v>
      </c>
      <c r="J31" s="59">
        <f t="shared" si="9"/>
        <v>0.12128188679245284</v>
      </c>
      <c r="K31" s="59">
        <f t="shared" si="9"/>
        <v>0.12444188679245283</v>
      </c>
      <c r="L31" s="59">
        <f t="shared" si="9"/>
        <v>0.12760188679245285</v>
      </c>
      <c r="M31" s="59">
        <f t="shared" si="9"/>
        <v>0.13132621359223301</v>
      </c>
      <c r="N31" s="21"/>
    </row>
    <row r="32" spans="2:14" ht="22.15" customHeight="1" x14ac:dyDescent="0.5">
      <c r="B32" s="109" t="s">
        <v>781</v>
      </c>
      <c r="C32" s="91">
        <f t="shared" ref="C32:M32" si="10">IFERROR(1-C30/C25,0)</f>
        <v>1.181350114416476</v>
      </c>
      <c r="D32" s="91">
        <f t="shared" si="10"/>
        <v>1.0978203083466245</v>
      </c>
      <c r="E32" s="91">
        <f t="shared" si="10"/>
        <v>1.0253227408143004</v>
      </c>
      <c r="F32" s="91">
        <f t="shared" si="10"/>
        <v>0.29328798232125208</v>
      </c>
      <c r="G32" s="91">
        <f t="shared" si="10"/>
        <v>0.27617951668584562</v>
      </c>
      <c r="H32" s="91">
        <f t="shared" si="10"/>
        <v>0.26900602274595387</v>
      </c>
      <c r="I32" s="91">
        <f t="shared" si="10"/>
        <v>0.26219574368909382</v>
      </c>
      <c r="J32" s="91">
        <f t="shared" si="10"/>
        <v>5.2337187119449569E-2</v>
      </c>
      <c r="K32" s="91">
        <f t="shared" si="10"/>
        <v>5.1076050080426927E-2</v>
      </c>
      <c r="L32" s="91">
        <f t="shared" si="10"/>
        <v>4.9874260666769588E-2</v>
      </c>
      <c r="M32" s="91">
        <f t="shared" si="10"/>
        <v>7.6468258845056258E-2</v>
      </c>
      <c r="N32" s="22"/>
    </row>
    <row r="33" spans="2:14" ht="22.15" customHeight="1" x14ac:dyDescent="0.5">
      <c r="B33" s="58" t="s">
        <v>782</v>
      </c>
      <c r="C33" s="117">
        <f>C9/IF($C$4="Base",'⚙️ Assumptions'!C54,IF($C$4="Bear",'⚙️ Assumptions'!D54,'⚙️ Assumptions'!E54))</f>
        <v>867615.03184713388</v>
      </c>
      <c r="D33" s="68">
        <f t="shared" ref="D33:L33" si="11">C33+(-D27-D28-D29-D17)</f>
        <v>968877.67915113387</v>
      </c>
      <c r="E33" s="68">
        <f t="shared" si="11"/>
        <v>1084317.097077694</v>
      </c>
      <c r="F33" s="68">
        <f t="shared" si="11"/>
        <v>1122554.65730131</v>
      </c>
      <c r="G33" s="68">
        <f t="shared" si="11"/>
        <v>1164615.9735472875</v>
      </c>
      <c r="H33" s="68">
        <f t="shared" si="11"/>
        <v>1210883.4214178629</v>
      </c>
      <c r="I33" s="68">
        <f t="shared" si="11"/>
        <v>1261777.6140754959</v>
      </c>
      <c r="J33" s="68">
        <f t="shared" si="11"/>
        <v>1272818.8264270546</v>
      </c>
      <c r="K33" s="68">
        <f t="shared" si="11"/>
        <v>1284522.5115197068</v>
      </c>
      <c r="L33" s="68">
        <f t="shared" si="11"/>
        <v>1296928.4177179181</v>
      </c>
      <c r="M33" s="119">
        <f>M9/IF($C$4="Base",'⚙️ Assumptions'!$C$54,IF($C$4="Bear",'⚙️ Assumptions'!$D$54,'⚙️ Assumptions'!$E$54))</f>
        <v>2025173.9462347357</v>
      </c>
      <c r="N33" s="21"/>
    </row>
    <row r="34" spans="2:14" ht="22.15" customHeight="1" x14ac:dyDescent="0.5">
      <c r="B34" s="109" t="s">
        <v>783</v>
      </c>
      <c r="C34" s="91">
        <f>IFERROR(C21/C33,0)</f>
        <v>8.6664000000000005E-2</v>
      </c>
      <c r="D34" s="91">
        <f t="shared" ref="D34:M34" si="12">IFERROR(D21/C33,0)</f>
        <v>0.10631412</v>
      </c>
      <c r="E34" s="91">
        <f t="shared" si="12"/>
        <v>0.11620493917062724</v>
      </c>
      <c r="F34" s="91">
        <f t="shared" si="12"/>
        <v>0.12023740664995927</v>
      </c>
      <c r="G34" s="91">
        <f t="shared" si="12"/>
        <v>0.13567002276169068</v>
      </c>
      <c r="H34" s="91">
        <f t="shared" si="12"/>
        <v>0.14768309944045194</v>
      </c>
      <c r="I34" s="91">
        <f t="shared" si="12"/>
        <v>0.16030248652159873</v>
      </c>
      <c r="J34" s="91">
        <f t="shared" si="12"/>
        <v>0.16719510828023884</v>
      </c>
      <c r="K34" s="91">
        <f t="shared" si="12"/>
        <v>0.18002745139808185</v>
      </c>
      <c r="L34" s="91">
        <f t="shared" si="12"/>
        <v>0.19364679013063599</v>
      </c>
      <c r="M34" s="91">
        <f t="shared" si="12"/>
        <v>0.20916876121270753</v>
      </c>
      <c r="N34" s="22"/>
    </row>
    <row r="35" spans="2:14" ht="15.75" customHeight="1" x14ac:dyDescent="0.5">
      <c r="B35" s="3"/>
      <c r="C35" s="3"/>
      <c r="D35" s="3"/>
      <c r="E35" s="3"/>
      <c r="F35" s="3"/>
      <c r="G35" s="3"/>
      <c r="H35" s="3"/>
      <c r="I35" s="3"/>
      <c r="J35" s="3"/>
      <c r="K35" s="3"/>
      <c r="L35" s="3"/>
      <c r="M35" s="3"/>
      <c r="N35" s="3"/>
    </row>
    <row r="36" spans="2:14" ht="26.1" customHeight="1" x14ac:dyDescent="0.45">
      <c r="B36" s="242" t="s">
        <v>784</v>
      </c>
      <c r="C36" s="185"/>
      <c r="D36" s="185"/>
      <c r="E36" s="185"/>
      <c r="F36" s="185"/>
      <c r="G36" s="185"/>
      <c r="H36" s="185"/>
      <c r="I36" s="185"/>
      <c r="J36" s="185"/>
      <c r="K36" s="185"/>
      <c r="L36" s="185"/>
      <c r="M36" s="185"/>
      <c r="N36" s="185"/>
    </row>
    <row r="37" spans="2:14" ht="22.15" customHeight="1" x14ac:dyDescent="0.5">
      <c r="B37" s="85" t="s">
        <v>723</v>
      </c>
      <c r="C37" s="77" t="s">
        <v>755</v>
      </c>
      <c r="D37" s="77" t="s">
        <v>756</v>
      </c>
      <c r="E37" s="77" t="s">
        <v>757</v>
      </c>
      <c r="F37" s="77" t="s">
        <v>758</v>
      </c>
      <c r="G37" s="77" t="s">
        <v>759</v>
      </c>
      <c r="H37" s="77" t="s">
        <v>760</v>
      </c>
      <c r="I37" s="77" t="s">
        <v>761</v>
      </c>
      <c r="J37" s="77" t="s">
        <v>762</v>
      </c>
      <c r="K37" s="77" t="s">
        <v>763</v>
      </c>
      <c r="L37" s="77" t="s">
        <v>764</v>
      </c>
      <c r="M37" s="21"/>
      <c r="N37" s="21"/>
    </row>
    <row r="38" spans="2:14" ht="22.15" customHeight="1" x14ac:dyDescent="0.5">
      <c r="B38" s="45" t="s">
        <v>785</v>
      </c>
      <c r="C38" s="120">
        <f>IF('⚙️ Assumptions'!$C$90="Y",1-0.5,1)</f>
        <v>0.5</v>
      </c>
      <c r="D38" s="120">
        <f>IF('⚙️ Assumptions'!$C$90="Y",2-0.5,2)</f>
        <v>1.5</v>
      </c>
      <c r="E38" s="120">
        <f>IF('⚙️ Assumptions'!$C$90="Y",3-0.5,3)</f>
        <v>2.5</v>
      </c>
      <c r="F38" s="120">
        <f>IF('⚙️ Assumptions'!$C$90="Y",4-0.5,4)</f>
        <v>3.5</v>
      </c>
      <c r="G38" s="120">
        <f>IF('⚙️ Assumptions'!$C$90="Y",5-0.5,5)</f>
        <v>4.5</v>
      </c>
      <c r="H38" s="120">
        <f>IF('⚙️ Assumptions'!$C$90="Y",6-0.5,6)</f>
        <v>5.5</v>
      </c>
      <c r="I38" s="120">
        <f>IF('⚙️ Assumptions'!$C$90="Y",7-0.5,7)</f>
        <v>6.5</v>
      </c>
      <c r="J38" s="120">
        <f>IF('⚙️ Assumptions'!$C$90="Y",8-0.5,8)</f>
        <v>7.5</v>
      </c>
      <c r="K38" s="120">
        <f>IF('⚙️ Assumptions'!$C$90="Y",9-0.5,9)</f>
        <v>8.5</v>
      </c>
      <c r="L38" s="120">
        <f>IF('⚙️ Assumptions'!$C$90="Y",10-0.5,10)</f>
        <v>9.5</v>
      </c>
      <c r="M38" s="22"/>
      <c r="N38" s="22"/>
    </row>
    <row r="39" spans="2:14" ht="22.15" customHeight="1" x14ac:dyDescent="0.45">
      <c r="B39" s="58" t="s">
        <v>786</v>
      </c>
      <c r="C39" s="121">
        <f>IF($C$4="Base",'⚙️ Assumptions'!C66,IF($C$4="Bear",'⚙️ Assumptions'!D66,'⚙️ Assumptions'!E66))</f>
        <v>9.7666599999999992E-2</v>
      </c>
      <c r="D39" s="246">
        <f>$C$39</f>
        <v>9.7666599999999992E-2</v>
      </c>
      <c r="E39" s="185"/>
      <c r="F39" s="185"/>
      <c r="G39" s="185"/>
      <c r="H39" s="185"/>
      <c r="I39" s="185"/>
      <c r="J39" s="185"/>
      <c r="K39" s="185"/>
      <c r="L39" s="185"/>
      <c r="M39" s="185"/>
      <c r="N39" s="122" t="s">
        <v>787</v>
      </c>
    </row>
    <row r="40" spans="2:14" ht="22.15" customHeight="1" x14ac:dyDescent="0.5">
      <c r="B40" s="45" t="s">
        <v>788</v>
      </c>
      <c r="C40" s="123">
        <f t="shared" ref="C40:L40" si="13">1/(1+$C$39)^C38</f>
        <v>0.95447547808437994</v>
      </c>
      <c r="D40" s="123">
        <f t="shared" si="13"/>
        <v>0.86954953178349415</v>
      </c>
      <c r="E40" s="123">
        <f t="shared" si="13"/>
        <v>0.79218000418660295</v>
      </c>
      <c r="F40" s="123">
        <f t="shared" si="13"/>
        <v>0.72169455113839032</v>
      </c>
      <c r="G40" s="123">
        <f t="shared" si="13"/>
        <v>0.65748065135478329</v>
      </c>
      <c r="H40" s="123">
        <f t="shared" si="13"/>
        <v>0.59898028358955557</v>
      </c>
      <c r="I40" s="123">
        <f t="shared" si="13"/>
        <v>0.54568507740834571</v>
      </c>
      <c r="J40" s="123">
        <f t="shared" si="13"/>
        <v>0.49713189543012937</v>
      </c>
      <c r="K40" s="123">
        <f t="shared" si="13"/>
        <v>0.45289880864565746</v>
      </c>
      <c r="L40" s="123">
        <f t="shared" si="13"/>
        <v>0.41260142983822001</v>
      </c>
      <c r="M40" s="22"/>
      <c r="N40" s="22"/>
    </row>
    <row r="41" spans="2:14" ht="22.15" customHeight="1" x14ac:dyDescent="0.5">
      <c r="B41" s="87" t="s">
        <v>789</v>
      </c>
      <c r="C41" s="52">
        <f t="shared" ref="C41:L41" si="14">C30*C40</f>
        <v>-13015.126902906159</v>
      </c>
      <c r="D41" s="52">
        <f t="shared" si="14"/>
        <v>-7845.8747260360815</v>
      </c>
      <c r="E41" s="52">
        <f t="shared" si="14"/>
        <v>-2258.5417566075103</v>
      </c>
      <c r="F41" s="52">
        <f t="shared" si="14"/>
        <v>66495.431580582241</v>
      </c>
      <c r="G41" s="52">
        <f t="shared" si="14"/>
        <v>72477.839615883495</v>
      </c>
      <c r="H41" s="52">
        <f t="shared" si="14"/>
        <v>75307.783729476927</v>
      </c>
      <c r="I41" s="52">
        <f t="shared" si="14"/>
        <v>78149.432008403048</v>
      </c>
      <c r="J41" s="52">
        <f t="shared" si="14"/>
        <v>99387.519508394005</v>
      </c>
      <c r="K41" s="52">
        <f t="shared" si="14"/>
        <v>98477.70296628488</v>
      </c>
      <c r="L41" s="52">
        <f t="shared" si="14"/>
        <v>97513.295641106393</v>
      </c>
      <c r="M41" s="52">
        <f>SUM(C41:L41)</f>
        <v>564689.46166458121</v>
      </c>
      <c r="N41" s="21"/>
    </row>
    <row r="42" spans="2:14" ht="22.15" customHeight="1" x14ac:dyDescent="0.5">
      <c r="B42" s="45" t="s">
        <v>790</v>
      </c>
      <c r="C42" s="67">
        <f>C41</f>
        <v>-13015.126902906159</v>
      </c>
      <c r="D42" s="67">
        <f t="shared" ref="D42:L42" si="15">C42+D41</f>
        <v>-20861.001628942242</v>
      </c>
      <c r="E42" s="67">
        <f t="shared" si="15"/>
        <v>-23119.543385549754</v>
      </c>
      <c r="F42" s="67">
        <f t="shared" si="15"/>
        <v>43375.888195032487</v>
      </c>
      <c r="G42" s="67">
        <f t="shared" si="15"/>
        <v>115853.72781091598</v>
      </c>
      <c r="H42" s="67">
        <f t="shared" si="15"/>
        <v>191161.51154039291</v>
      </c>
      <c r="I42" s="67">
        <f t="shared" si="15"/>
        <v>269310.94354879594</v>
      </c>
      <c r="J42" s="67">
        <f t="shared" si="15"/>
        <v>368698.46305718995</v>
      </c>
      <c r="K42" s="67">
        <f t="shared" si="15"/>
        <v>467176.16602347483</v>
      </c>
      <c r="L42" s="67">
        <f t="shared" si="15"/>
        <v>564689.46166458121</v>
      </c>
      <c r="M42" s="22"/>
      <c r="N42" s="22"/>
    </row>
    <row r="43" spans="2:14" ht="15.75" customHeight="1" x14ac:dyDescent="0.5">
      <c r="B43" s="3"/>
      <c r="C43" s="3"/>
      <c r="D43" s="3"/>
      <c r="E43" s="3"/>
      <c r="F43" s="3"/>
      <c r="G43" s="3"/>
      <c r="H43" s="3"/>
      <c r="I43" s="3"/>
      <c r="J43" s="3"/>
      <c r="K43" s="3"/>
      <c r="L43" s="3"/>
      <c r="M43" s="3"/>
      <c r="N43" s="3"/>
    </row>
    <row r="44" spans="2:14" ht="26.1" customHeight="1" x14ac:dyDescent="0.45">
      <c r="B44" s="242" t="s">
        <v>791</v>
      </c>
      <c r="C44" s="185"/>
      <c r="D44" s="185"/>
      <c r="E44" s="185"/>
      <c r="F44" s="185"/>
      <c r="G44" s="185"/>
      <c r="H44" s="185"/>
      <c r="I44" s="185"/>
      <c r="J44" s="185"/>
      <c r="K44" s="185"/>
      <c r="L44" s="185"/>
      <c r="M44" s="185"/>
      <c r="N44" s="185"/>
    </row>
    <row r="45" spans="2:14" ht="22.15" customHeight="1" x14ac:dyDescent="0.5">
      <c r="B45" s="47" t="s">
        <v>792</v>
      </c>
      <c r="C45" s="68">
        <f>M30</f>
        <v>250532.83750361868</v>
      </c>
      <c r="D45" s="21"/>
      <c r="E45" s="21"/>
      <c r="F45" s="21"/>
      <c r="G45" s="21"/>
      <c r="H45" s="21"/>
      <c r="I45" s="21"/>
      <c r="J45" s="21"/>
      <c r="K45" s="21"/>
      <c r="L45" s="21"/>
      <c r="M45" s="21"/>
      <c r="N45" s="21"/>
    </row>
    <row r="46" spans="2:14" ht="22.15" customHeight="1" x14ac:dyDescent="0.5">
      <c r="B46" s="45" t="s">
        <v>793</v>
      </c>
      <c r="C46" s="67">
        <f>M16</f>
        <v>534159.88005887391</v>
      </c>
      <c r="D46" s="22"/>
      <c r="E46" s="22"/>
      <c r="F46" s="22"/>
      <c r="G46" s="22"/>
      <c r="H46" s="22"/>
      <c r="I46" s="22"/>
      <c r="J46" s="22"/>
      <c r="K46" s="22"/>
      <c r="L46" s="22"/>
      <c r="M46" s="22"/>
      <c r="N46" s="22"/>
    </row>
    <row r="47" spans="2:14" ht="22.15" customHeight="1" x14ac:dyDescent="0.5">
      <c r="B47" s="47" t="s">
        <v>696</v>
      </c>
      <c r="C47" s="121">
        <f>IF($C$4="Base",'⚙️ Assumptions'!C69,IF($C$4="Bear",'⚙️ Assumptions'!D69,'⚙️ Assumptions'!E69))</f>
        <v>0.03</v>
      </c>
      <c r="D47" s="21"/>
      <c r="E47" s="21"/>
      <c r="F47" s="21"/>
      <c r="G47" s="21"/>
      <c r="H47" s="21"/>
      <c r="I47" s="21"/>
      <c r="J47" s="21"/>
      <c r="K47" s="21"/>
      <c r="L47" s="21"/>
      <c r="M47" s="21"/>
      <c r="N47" s="21"/>
    </row>
    <row r="48" spans="2:14" ht="22.15" customHeight="1" x14ac:dyDescent="0.5">
      <c r="B48" s="45" t="s">
        <v>694</v>
      </c>
      <c r="C48" s="76">
        <f>C39</f>
        <v>9.7666599999999992E-2</v>
      </c>
      <c r="D48" s="22"/>
      <c r="E48" s="22"/>
      <c r="F48" s="22"/>
      <c r="G48" s="22"/>
      <c r="H48" s="22"/>
      <c r="I48" s="22"/>
      <c r="J48" s="22"/>
      <c r="K48" s="22"/>
      <c r="L48" s="22"/>
      <c r="M48" s="22"/>
      <c r="N48" s="22"/>
    </row>
    <row r="49" spans="2:14" ht="22.15" customHeight="1" x14ac:dyDescent="0.5">
      <c r="B49" s="47" t="s">
        <v>794</v>
      </c>
      <c r="C49" s="124">
        <f>IF($C$4="Base",'⚙️ Assumptions'!C74,IF($C$4="Bear",'⚙️ Assumptions'!D74,'⚙️ Assumptions'!E74))</f>
        <v>16</v>
      </c>
      <c r="D49" s="21"/>
      <c r="E49" s="21"/>
      <c r="F49" s="21"/>
      <c r="G49" s="21"/>
      <c r="H49" s="21"/>
      <c r="I49" s="21"/>
      <c r="J49" s="21"/>
      <c r="K49" s="21"/>
      <c r="L49" s="21"/>
      <c r="M49" s="21"/>
      <c r="N49" s="21"/>
    </row>
    <row r="50" spans="2:14" ht="22.15" customHeight="1" x14ac:dyDescent="0.5">
      <c r="B50" s="109" t="s">
        <v>795</v>
      </c>
      <c r="C50" s="67">
        <f>C45*(1+C47)/(C48-C47)</f>
        <v>3813533.1556296204</v>
      </c>
      <c r="D50" s="22"/>
      <c r="E50" s="22"/>
      <c r="F50" s="22"/>
      <c r="G50" s="22"/>
      <c r="H50" s="22"/>
      <c r="I50" s="22"/>
      <c r="J50" s="22"/>
      <c r="K50" s="22"/>
      <c r="L50" s="22"/>
      <c r="M50" s="22"/>
      <c r="N50" s="22"/>
    </row>
    <row r="51" spans="2:14" ht="22.15" customHeight="1" x14ac:dyDescent="0.5">
      <c r="B51" s="58" t="s">
        <v>796</v>
      </c>
      <c r="C51" s="68">
        <f>C46*C49</f>
        <v>8546558.0809419826</v>
      </c>
      <c r="D51" s="21"/>
      <c r="E51" s="21"/>
      <c r="F51" s="21"/>
      <c r="G51" s="21"/>
      <c r="H51" s="21"/>
      <c r="I51" s="21"/>
      <c r="J51" s="21"/>
      <c r="K51" s="21"/>
      <c r="L51" s="21"/>
      <c r="M51" s="21"/>
      <c r="N51" s="21"/>
    </row>
    <row r="52" spans="2:14" ht="22.15" customHeight="1" x14ac:dyDescent="0.45">
      <c r="B52" s="90" t="s">
        <v>797</v>
      </c>
      <c r="C52" s="125">
        <f>IF(IF($C$4="Base",'⚙️ Assumptions'!C73,IF($C$4="Bear",'⚙️ Assumptions'!D73,'⚙️ Assumptions'!E73))="Gordon Growth",C50,C51)</f>
        <v>3813533.1556296204</v>
      </c>
      <c r="D52" s="247">
        <f>$C$52</f>
        <v>3813533.1556296204</v>
      </c>
      <c r="E52" s="185"/>
      <c r="F52" s="185"/>
      <c r="G52" s="185"/>
      <c r="H52" s="185"/>
      <c r="I52" s="185"/>
      <c r="J52" s="185"/>
      <c r="K52" s="185"/>
      <c r="L52" s="185"/>
      <c r="M52" s="185"/>
      <c r="N52" s="126" t="s">
        <v>798</v>
      </c>
    </row>
    <row r="53" spans="2:14" ht="22.15" customHeight="1" x14ac:dyDescent="0.5">
      <c r="B53" s="87" t="s">
        <v>799</v>
      </c>
      <c r="C53" s="52">
        <f>C52/(1+C48)^10</f>
        <v>1501837.7981784395</v>
      </c>
      <c r="D53" s="21"/>
      <c r="E53" s="21"/>
      <c r="F53" s="21"/>
      <c r="G53" s="21"/>
      <c r="H53" s="21"/>
      <c r="I53" s="21"/>
      <c r="J53" s="21"/>
      <c r="K53" s="21"/>
      <c r="L53" s="21"/>
      <c r="M53" s="21"/>
      <c r="N53" s="21"/>
    </row>
    <row r="54" spans="2:14" ht="22.15" customHeight="1" x14ac:dyDescent="0.5">
      <c r="B54" s="109" t="s">
        <v>800</v>
      </c>
      <c r="C54" s="91">
        <f>IFERROR(C53/(C53+M41),0)</f>
        <v>0.72674473129985395</v>
      </c>
      <c r="D54" s="22"/>
      <c r="E54" s="22"/>
      <c r="F54" s="22"/>
      <c r="G54" s="22"/>
      <c r="H54" s="22"/>
      <c r="I54" s="22"/>
      <c r="J54" s="22"/>
      <c r="K54" s="22"/>
      <c r="L54" s="22"/>
      <c r="M54" s="22"/>
      <c r="N54" s="22"/>
    </row>
    <row r="55" spans="2:14" ht="15.75" customHeight="1" x14ac:dyDescent="0.5">
      <c r="B55" s="3"/>
      <c r="C55" s="3"/>
      <c r="D55" s="3"/>
      <c r="E55" s="3"/>
      <c r="F55" s="3"/>
      <c r="G55" s="3"/>
      <c r="H55" s="3"/>
      <c r="I55" s="3"/>
      <c r="J55" s="3"/>
      <c r="K55" s="3"/>
      <c r="L55" s="3"/>
      <c r="M55" s="3"/>
      <c r="N55" s="3"/>
    </row>
    <row r="56" spans="2:14" ht="26.1" customHeight="1" x14ac:dyDescent="0.45">
      <c r="B56" s="242" t="s">
        <v>801</v>
      </c>
      <c r="C56" s="185"/>
      <c r="D56" s="185"/>
      <c r="E56" s="185"/>
      <c r="F56" s="185"/>
      <c r="G56" s="185"/>
      <c r="H56" s="185"/>
      <c r="I56" s="185"/>
      <c r="J56" s="185"/>
      <c r="K56" s="185"/>
      <c r="L56" s="185"/>
      <c r="M56" s="185"/>
      <c r="N56" s="185"/>
    </row>
    <row r="57" spans="2:14" ht="22.15" customHeight="1" x14ac:dyDescent="0.5">
      <c r="B57" s="47" t="s">
        <v>802</v>
      </c>
      <c r="C57" s="68">
        <f>M41</f>
        <v>564689.46166458121</v>
      </c>
      <c r="D57" s="21"/>
      <c r="E57" s="21"/>
      <c r="F57" s="21"/>
      <c r="G57" s="21"/>
      <c r="H57" s="21"/>
      <c r="I57" s="21"/>
      <c r="J57" s="21"/>
      <c r="K57" s="21"/>
      <c r="L57" s="21"/>
      <c r="M57" s="21"/>
      <c r="N57" s="21"/>
    </row>
    <row r="58" spans="2:14" ht="22.15" customHeight="1" x14ac:dyDescent="0.5">
      <c r="B58" s="45" t="s">
        <v>803</v>
      </c>
      <c r="C58" s="67">
        <f>C53</f>
        <v>1501837.7981784395</v>
      </c>
      <c r="D58" s="22"/>
      <c r="E58" s="22"/>
      <c r="F58" s="22"/>
      <c r="G58" s="22"/>
      <c r="H58" s="22"/>
      <c r="I58" s="22"/>
      <c r="J58" s="22"/>
      <c r="K58" s="22"/>
      <c r="L58" s="22"/>
      <c r="M58" s="22"/>
      <c r="N58" s="22"/>
    </row>
    <row r="59" spans="2:14" ht="22.15" customHeight="1" x14ac:dyDescent="0.5">
      <c r="B59" s="87" t="s">
        <v>804</v>
      </c>
      <c r="C59" s="52">
        <f>C57+C58</f>
        <v>2066527.2598430207</v>
      </c>
      <c r="D59" s="21"/>
      <c r="E59" s="21"/>
      <c r="F59" s="21"/>
      <c r="G59" s="21"/>
      <c r="H59" s="21"/>
      <c r="I59" s="21"/>
      <c r="J59" s="21"/>
      <c r="K59" s="21"/>
      <c r="L59" s="21"/>
      <c r="M59" s="21"/>
      <c r="N59" s="21"/>
    </row>
    <row r="60" spans="2:14" ht="22.15" customHeight="1" x14ac:dyDescent="0.5">
      <c r="B60" s="45" t="s">
        <v>805</v>
      </c>
      <c r="C60" s="118">
        <f>'⚙️ Assumptions'!C77</f>
        <v>86810</v>
      </c>
      <c r="D60" s="22"/>
      <c r="E60" s="22"/>
      <c r="F60" s="22"/>
      <c r="G60" s="22"/>
      <c r="H60" s="22"/>
      <c r="I60" s="22"/>
      <c r="J60" s="22"/>
      <c r="K60" s="22"/>
      <c r="L60" s="22"/>
      <c r="M60" s="22"/>
      <c r="N60" s="22"/>
    </row>
    <row r="61" spans="2:14" ht="22.15" customHeight="1" x14ac:dyDescent="0.5">
      <c r="B61" s="47" t="s">
        <v>806</v>
      </c>
      <c r="C61" s="117">
        <f>'⚙️ Assumptions'!C78</f>
        <v>36219</v>
      </c>
      <c r="D61" s="21"/>
      <c r="E61" s="21"/>
      <c r="F61" s="21"/>
      <c r="G61" s="21"/>
      <c r="H61" s="21"/>
      <c r="I61" s="21"/>
      <c r="J61" s="21"/>
      <c r="K61" s="21"/>
      <c r="L61" s="21"/>
      <c r="M61" s="21"/>
      <c r="N61" s="21"/>
    </row>
    <row r="62" spans="2:14" ht="22.15" customHeight="1" x14ac:dyDescent="0.5">
      <c r="B62" s="45" t="s">
        <v>807</v>
      </c>
      <c r="C62" s="118">
        <f>'⚙️ Assumptions'!C83</f>
        <v>0</v>
      </c>
      <c r="D62" s="22"/>
      <c r="E62" s="22"/>
      <c r="F62" s="22"/>
      <c r="G62" s="22"/>
      <c r="H62" s="22"/>
      <c r="I62" s="22"/>
      <c r="J62" s="22"/>
      <c r="K62" s="22"/>
      <c r="L62" s="22"/>
      <c r="M62" s="22"/>
      <c r="N62" s="22"/>
    </row>
    <row r="63" spans="2:14" ht="22.15" customHeight="1" x14ac:dyDescent="0.5">
      <c r="B63" s="47" t="s">
        <v>808</v>
      </c>
      <c r="C63" s="117">
        <f>-'⚙️ Assumptions'!C79</f>
        <v>-89295</v>
      </c>
      <c r="D63" s="21"/>
      <c r="E63" s="21"/>
      <c r="F63" s="21"/>
      <c r="G63" s="21"/>
      <c r="H63" s="21"/>
      <c r="I63" s="21"/>
      <c r="J63" s="21"/>
      <c r="K63" s="21"/>
      <c r="L63" s="21"/>
      <c r="M63" s="21"/>
      <c r="N63" s="21"/>
    </row>
    <row r="64" spans="2:14" ht="22.15" customHeight="1" x14ac:dyDescent="0.5">
      <c r="B64" s="45" t="s">
        <v>809</v>
      </c>
      <c r="C64" s="118">
        <f>-'⚙️ Assumptions'!C80</f>
        <v>0</v>
      </c>
      <c r="D64" s="22"/>
      <c r="E64" s="22"/>
      <c r="F64" s="22"/>
      <c r="G64" s="22"/>
      <c r="H64" s="22"/>
      <c r="I64" s="22"/>
      <c r="J64" s="22"/>
      <c r="K64" s="22"/>
      <c r="L64" s="22"/>
      <c r="M64" s="22"/>
      <c r="N64" s="22"/>
    </row>
    <row r="65" spans="2:14" ht="22.15" customHeight="1" x14ac:dyDescent="0.5">
      <c r="B65" s="47" t="s">
        <v>810</v>
      </c>
      <c r="C65" s="117">
        <f>-'⚙️ Assumptions'!C81</f>
        <v>-87339</v>
      </c>
      <c r="D65" s="21"/>
      <c r="E65" s="21"/>
      <c r="F65" s="21"/>
      <c r="G65" s="21"/>
      <c r="H65" s="21"/>
      <c r="I65" s="21"/>
      <c r="J65" s="21"/>
      <c r="K65" s="21"/>
      <c r="L65" s="21"/>
      <c r="M65" s="21"/>
      <c r="N65" s="21"/>
    </row>
    <row r="66" spans="2:14" ht="22.15" customHeight="1" x14ac:dyDescent="0.5">
      <c r="B66" s="45" t="s">
        <v>811</v>
      </c>
      <c r="C66" s="118">
        <f>-'⚙️ Assumptions'!C82</f>
        <v>0</v>
      </c>
      <c r="D66" s="22"/>
      <c r="E66" s="22"/>
      <c r="F66" s="22"/>
      <c r="G66" s="22"/>
      <c r="H66" s="22"/>
      <c r="I66" s="22"/>
      <c r="J66" s="22"/>
      <c r="K66" s="22"/>
      <c r="L66" s="22"/>
      <c r="M66" s="22"/>
      <c r="N66" s="22"/>
    </row>
    <row r="67" spans="2:14" ht="22.15" customHeight="1" x14ac:dyDescent="0.5">
      <c r="B67" s="47" t="s">
        <v>812</v>
      </c>
      <c r="C67" s="117">
        <f>-'⚙️ Assumptions'!C84</f>
        <v>0</v>
      </c>
      <c r="D67" s="21"/>
      <c r="E67" s="21"/>
      <c r="F67" s="21"/>
      <c r="G67" s="21"/>
      <c r="H67" s="21"/>
      <c r="I67" s="21"/>
      <c r="J67" s="21"/>
      <c r="K67" s="21"/>
      <c r="L67" s="21"/>
      <c r="M67" s="21"/>
      <c r="N67" s="21"/>
    </row>
    <row r="68" spans="2:14" ht="22.15" customHeight="1" x14ac:dyDescent="0.5">
      <c r="B68" s="45" t="s">
        <v>813</v>
      </c>
      <c r="C68" s="118">
        <f>-'⚙️ Assumptions'!C85</f>
        <v>0</v>
      </c>
      <c r="D68" s="22"/>
      <c r="E68" s="22"/>
      <c r="F68" s="22"/>
      <c r="G68" s="22"/>
      <c r="H68" s="22"/>
      <c r="I68" s="22"/>
      <c r="J68" s="22"/>
      <c r="K68" s="22"/>
      <c r="L68" s="22"/>
      <c r="M68" s="22"/>
      <c r="N68" s="22"/>
    </row>
    <row r="69" spans="2:14" ht="22.15" customHeight="1" x14ac:dyDescent="0.5">
      <c r="B69" s="87" t="s">
        <v>814</v>
      </c>
      <c r="C69" s="52">
        <f>C59+SUM(C60:C68)</f>
        <v>2012922.2598430207</v>
      </c>
      <c r="D69" s="21"/>
      <c r="E69" s="21"/>
      <c r="F69" s="21"/>
      <c r="G69" s="21"/>
      <c r="H69" s="21"/>
      <c r="I69" s="21"/>
      <c r="J69" s="21"/>
      <c r="K69" s="21"/>
      <c r="L69" s="21"/>
      <c r="M69" s="21"/>
      <c r="N69" s="21"/>
    </row>
    <row r="70" spans="2:14" ht="22.15" customHeight="1" x14ac:dyDescent="0.5">
      <c r="B70" s="45" t="s">
        <v>815</v>
      </c>
      <c r="C70" s="118">
        <f>'⚙️ Assumptions'!C22</f>
        <v>10953</v>
      </c>
      <c r="D70" s="22"/>
      <c r="E70" s="22"/>
      <c r="F70" s="22"/>
      <c r="G70" s="22"/>
      <c r="H70" s="22"/>
      <c r="I70" s="22"/>
      <c r="J70" s="22"/>
      <c r="K70" s="22"/>
      <c r="L70" s="22"/>
      <c r="M70" s="22"/>
      <c r="N70" s="22"/>
    </row>
    <row r="71" spans="2:14" ht="22.15" customHeight="1" x14ac:dyDescent="0.5">
      <c r="B71" s="87" t="s">
        <v>816</v>
      </c>
      <c r="C71" s="127">
        <f>IFERROR(C69/C70,0)</f>
        <v>183.77816669798418</v>
      </c>
      <c r="D71" s="21"/>
      <c r="E71" s="21"/>
      <c r="F71" s="21"/>
      <c r="G71" s="21"/>
      <c r="H71" s="21"/>
      <c r="I71" s="21"/>
      <c r="J71" s="21"/>
      <c r="K71" s="21"/>
      <c r="L71" s="21"/>
      <c r="M71" s="21"/>
      <c r="N71" s="21"/>
    </row>
    <row r="72" spans="2:14" ht="22.15" customHeight="1" x14ac:dyDescent="0.5">
      <c r="B72" s="45" t="s">
        <v>565</v>
      </c>
      <c r="C72" s="128">
        <f>'⚙️ Assumptions'!C16</f>
        <v>241.75</v>
      </c>
      <c r="D72" s="22"/>
      <c r="E72" s="22"/>
      <c r="F72" s="22"/>
      <c r="G72" s="22"/>
      <c r="H72" s="22"/>
      <c r="I72" s="22"/>
      <c r="J72" s="22"/>
      <c r="K72" s="22"/>
      <c r="L72" s="22"/>
      <c r="M72" s="22"/>
      <c r="N72" s="22"/>
    </row>
    <row r="73" spans="2:14" ht="22.15" customHeight="1" x14ac:dyDescent="0.5">
      <c r="B73" s="87" t="s">
        <v>817</v>
      </c>
      <c r="C73" s="56">
        <f>IFERROR(C71/C72-1,0)</f>
        <v>-0.23980075822964142</v>
      </c>
      <c r="D73" s="21"/>
      <c r="E73" s="21"/>
      <c r="F73" s="21"/>
      <c r="G73" s="21"/>
      <c r="H73" s="21"/>
      <c r="I73" s="21"/>
      <c r="J73" s="21"/>
      <c r="K73" s="21"/>
      <c r="L73" s="21"/>
      <c r="M73" s="21"/>
      <c r="N73" s="21"/>
    </row>
    <row r="74" spans="2:14" ht="22.15" customHeight="1" x14ac:dyDescent="0.5">
      <c r="B74" s="109" t="s">
        <v>818</v>
      </c>
      <c r="C74" s="129">
        <f>IFERROR(C59/C16,0)</f>
        <v>11.760470801994868</v>
      </c>
      <c r="D74" s="22"/>
      <c r="E74" s="22"/>
      <c r="F74" s="22"/>
      <c r="G74" s="22"/>
      <c r="H74" s="22"/>
      <c r="I74" s="22"/>
      <c r="J74" s="22"/>
      <c r="K74" s="22"/>
      <c r="L74" s="22"/>
      <c r="M74" s="22"/>
      <c r="N74" s="22"/>
    </row>
    <row r="75" spans="2:14" ht="22.15" customHeight="1" x14ac:dyDescent="0.5">
      <c r="B75" s="58" t="s">
        <v>819</v>
      </c>
      <c r="C75" s="130">
        <f>IFERROR(C59/C9,0)</f>
        <v>2.528501222428897</v>
      </c>
      <c r="D75" s="21"/>
      <c r="E75" s="21"/>
      <c r="F75" s="21"/>
      <c r="G75" s="21"/>
      <c r="H75" s="21"/>
      <c r="I75" s="21"/>
      <c r="J75" s="21"/>
      <c r="K75" s="21"/>
      <c r="L75" s="21"/>
      <c r="M75" s="21"/>
      <c r="N75" s="21"/>
    </row>
    <row r="76" spans="2:14" ht="15.75" customHeight="1" x14ac:dyDescent="0.5">
      <c r="B76" s="3"/>
      <c r="C76" s="3"/>
      <c r="D76" s="3"/>
      <c r="E76" s="3"/>
      <c r="F76" s="3"/>
      <c r="G76" s="3"/>
      <c r="H76" s="3"/>
      <c r="I76" s="3"/>
      <c r="J76" s="3"/>
      <c r="K76" s="3"/>
      <c r="L76" s="3"/>
      <c r="M76" s="3"/>
      <c r="N76" s="3"/>
    </row>
    <row r="77" spans="2:14" ht="26.1" customHeight="1" x14ac:dyDescent="0.45">
      <c r="B77" s="242" t="s">
        <v>820</v>
      </c>
      <c r="C77" s="185"/>
      <c r="D77" s="185"/>
      <c r="E77" s="185"/>
      <c r="F77" s="185"/>
      <c r="G77" s="185"/>
      <c r="H77" s="185"/>
      <c r="I77" s="185"/>
      <c r="J77" s="185"/>
      <c r="K77" s="185"/>
      <c r="L77" s="185"/>
      <c r="M77" s="185"/>
      <c r="N77" s="185"/>
    </row>
    <row r="78" spans="2:14" ht="22.15" customHeight="1" x14ac:dyDescent="0.5">
      <c r="B78" s="45" t="s">
        <v>821</v>
      </c>
      <c r="C78" s="91">
        <f>IFERROR(M21/L33,0)</f>
        <v>0.20916876121270753</v>
      </c>
      <c r="D78" s="22"/>
      <c r="E78" s="22"/>
      <c r="F78" s="22"/>
      <c r="G78" s="22"/>
      <c r="H78" s="22"/>
      <c r="I78" s="22"/>
      <c r="J78" s="22"/>
      <c r="K78" s="22"/>
      <c r="L78" s="22"/>
      <c r="M78" s="22"/>
      <c r="N78" s="22"/>
    </row>
    <row r="79" spans="2:14" ht="22.15" customHeight="1" x14ac:dyDescent="0.5">
      <c r="B79" s="47" t="s">
        <v>694</v>
      </c>
      <c r="C79" s="75">
        <f>C39</f>
        <v>9.7666599999999992E-2</v>
      </c>
      <c r="D79" s="21"/>
      <c r="E79" s="21"/>
      <c r="F79" s="21"/>
      <c r="G79" s="21"/>
      <c r="H79" s="21"/>
      <c r="I79" s="21"/>
      <c r="J79" s="21"/>
      <c r="K79" s="21"/>
      <c r="L79" s="21"/>
      <c r="M79" s="21"/>
      <c r="N79" s="21"/>
    </row>
    <row r="80" spans="2:14" ht="22.15" customHeight="1" x14ac:dyDescent="0.45">
      <c r="B80" s="90" t="s">
        <v>822</v>
      </c>
      <c r="C80" s="57">
        <f>C78-C79</f>
        <v>0.11150216121270753</v>
      </c>
      <c r="D80" s="247">
        <f>$C$80</f>
        <v>0.11150216121270753</v>
      </c>
      <c r="E80" s="185"/>
      <c r="F80" s="185"/>
      <c r="G80" s="185"/>
      <c r="H80" s="185"/>
      <c r="I80" s="185"/>
      <c r="J80" s="185"/>
      <c r="K80" s="185"/>
      <c r="L80" s="185"/>
      <c r="M80" s="185"/>
      <c r="N80" s="126" t="s">
        <v>823</v>
      </c>
    </row>
    <row r="81" spans="2:14" ht="22.15" customHeight="1" x14ac:dyDescent="0.5">
      <c r="B81" s="47" t="s">
        <v>824</v>
      </c>
      <c r="C81" s="59">
        <f>IFERROR(C47/C78,0)</f>
        <v>0.14342485859775425</v>
      </c>
      <c r="D81" s="21"/>
      <c r="E81" s="21"/>
      <c r="F81" s="21"/>
      <c r="G81" s="21"/>
      <c r="H81" s="21"/>
      <c r="I81" s="21"/>
      <c r="J81" s="21"/>
      <c r="K81" s="21"/>
      <c r="L81" s="21"/>
      <c r="M81" s="21"/>
      <c r="N81" s="21"/>
    </row>
    <row r="82" spans="2:14" ht="22.15" customHeight="1" x14ac:dyDescent="0.5">
      <c r="B82" s="45" t="s">
        <v>825</v>
      </c>
      <c r="C82" s="91">
        <f>M32</f>
        <v>7.6468258845056258E-2</v>
      </c>
      <c r="D82" s="22"/>
      <c r="E82" s="22"/>
      <c r="F82" s="22"/>
      <c r="G82" s="22"/>
      <c r="H82" s="22"/>
      <c r="I82" s="22"/>
      <c r="J82" s="22"/>
      <c r="K82" s="22"/>
      <c r="L82" s="22"/>
      <c r="M82" s="22"/>
      <c r="N82" s="22"/>
    </row>
    <row r="83" spans="2:14" ht="22.15" customHeight="1" x14ac:dyDescent="0.45">
      <c r="B83" s="58" t="s">
        <v>826</v>
      </c>
      <c r="C83" s="75">
        <f>C82-C81</f>
        <v>-6.6956599752697993E-2</v>
      </c>
      <c r="D83" s="246">
        <f>$C$83</f>
        <v>-6.6956599752697993E-2</v>
      </c>
      <c r="E83" s="185"/>
      <c r="F83" s="185"/>
      <c r="G83" s="185"/>
      <c r="H83" s="185"/>
      <c r="I83" s="185"/>
      <c r="J83" s="185"/>
      <c r="K83" s="185"/>
      <c r="L83" s="185"/>
      <c r="M83" s="185"/>
      <c r="N83" s="122" t="s">
        <v>827</v>
      </c>
    </row>
    <row r="84" spans="2:14" ht="22.15" customHeight="1" x14ac:dyDescent="0.5">
      <c r="B84" s="109" t="s">
        <v>828</v>
      </c>
      <c r="C84" s="131" t="str">
        <f>IF(C47&gt;IF($C$4="Base",'⚙️ Assumptions'!C56,IF($C$4="Bear",'⚙️ Assumptions'!D56,'⚙️ Assumptions'!E56)),"⚠ TGR &gt; RFR","OK")</f>
        <v>OK</v>
      </c>
      <c r="D84" s="22"/>
      <c r="E84" s="22"/>
      <c r="F84" s="22"/>
      <c r="G84" s="22"/>
      <c r="H84" s="22"/>
      <c r="I84" s="22"/>
      <c r="J84" s="22"/>
      <c r="K84" s="22"/>
      <c r="L84" s="22"/>
      <c r="M84" s="22"/>
      <c r="N84" s="22"/>
    </row>
  </sheetData>
  <mergeCells count="12">
    <mergeCell ref="D83:M83"/>
    <mergeCell ref="B44:N44"/>
    <mergeCell ref="B77:N77"/>
    <mergeCell ref="B2:N2"/>
    <mergeCell ref="B6:M6"/>
    <mergeCell ref="B36:N36"/>
    <mergeCell ref="D80:M80"/>
    <mergeCell ref="B11:M11"/>
    <mergeCell ref="B23:M23"/>
    <mergeCell ref="B56:N56"/>
    <mergeCell ref="D52:M52"/>
    <mergeCell ref="D39:M39"/>
  </mergeCells>
  <conditionalFormatting sqref="C84">
    <cfRule type="expression" dxfId="0" priority="1">
      <formula>C84&lt;&gt;"OK"</formula>
    </cfRule>
  </conditionalFormatting>
  <dataValidations count="1">
    <dataValidation type="list" sqref="C4" xr:uid="{00000000-0002-0000-0500-000000000000}">
      <formula1>"Base,Bear,Bull"</formula1>
    </dataValidation>
  </dataValidations>
  <pageMargins left="0.75" right="0.75" top="1" bottom="1" header="0.5" footer="0.5"/>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B2:J25"/>
  <sheetViews>
    <sheetView showGridLines="0" workbookViewId="0">
      <selection activeCell="E22" sqref="E22"/>
    </sheetView>
  </sheetViews>
  <sheetFormatPr defaultRowHeight="14.25" x14ac:dyDescent="0.45"/>
  <cols>
    <col min="1" max="1" width="2.3984375" customWidth="1"/>
    <col min="2" max="2" width="35.59765625" customWidth="1"/>
    <col min="3" max="10" width="16.86328125" customWidth="1"/>
  </cols>
  <sheetData>
    <row r="2" spans="2:10" ht="42" customHeight="1" x14ac:dyDescent="0.45">
      <c r="B2" s="184" t="s">
        <v>829</v>
      </c>
      <c r="C2" s="185"/>
      <c r="D2" s="185"/>
      <c r="E2" s="185"/>
      <c r="F2" s="185"/>
      <c r="G2" s="185"/>
      <c r="H2" s="185"/>
      <c r="I2" s="185"/>
      <c r="J2" s="185"/>
    </row>
    <row r="3" spans="2:10" ht="15.75" customHeight="1" x14ac:dyDescent="0.5">
      <c r="B3" s="34" t="s">
        <v>830</v>
      </c>
      <c r="C3" s="3"/>
      <c r="D3" s="3"/>
      <c r="E3" s="3"/>
      <c r="F3" s="3"/>
      <c r="G3" s="3"/>
      <c r="H3" s="3"/>
      <c r="I3" s="3"/>
      <c r="J3" s="3"/>
    </row>
    <row r="4" spans="2:10" ht="15.75" customHeight="1" x14ac:dyDescent="0.5">
      <c r="B4" s="3"/>
      <c r="C4" s="3"/>
      <c r="D4" s="3"/>
      <c r="E4" s="3"/>
      <c r="F4" s="3"/>
      <c r="G4" s="3"/>
      <c r="H4" s="3"/>
      <c r="I4" s="3"/>
      <c r="J4" s="3"/>
    </row>
    <row r="5" spans="2:10" ht="15.75" customHeight="1" x14ac:dyDescent="0.45">
      <c r="B5" s="187" t="s">
        <v>831</v>
      </c>
      <c r="C5" s="185"/>
      <c r="D5" s="185"/>
      <c r="E5" s="185"/>
      <c r="F5" s="185"/>
      <c r="G5" s="185"/>
      <c r="H5" s="185"/>
      <c r="I5" s="185"/>
      <c r="J5" s="185"/>
    </row>
    <row r="6" spans="2:10" ht="15.75" customHeight="1" x14ac:dyDescent="0.45">
      <c r="B6" s="96" t="s">
        <v>832</v>
      </c>
      <c r="C6" s="39">
        <v>8.2500000000000004E-2</v>
      </c>
      <c r="D6" s="39">
        <v>8.7499999999999994E-2</v>
      </c>
      <c r="E6" s="39">
        <v>9.2499999999999999E-2</v>
      </c>
      <c r="F6" s="39">
        <v>9.7500000000000003E-2</v>
      </c>
      <c r="G6" s="39">
        <v>0.10249999999999999</v>
      </c>
      <c r="H6" s="39">
        <v>0.1075</v>
      </c>
      <c r="I6" s="39">
        <v>0.1125</v>
      </c>
      <c r="J6" s="39">
        <v>0.11749999999999999</v>
      </c>
    </row>
    <row r="7" spans="2:10" ht="15.75" customHeight="1" x14ac:dyDescent="0.45">
      <c r="B7" s="39">
        <v>2.2499999999999999E-2</v>
      </c>
      <c r="C7" s="132">
        <f>IFERROR(((SUMPRODUCT('🔢 DCF Engine'!$C$30:$L$30/(1+C$6)^IF('⚙️ Assumptions'!$C$90="Y",{0.5,1.5,2.5,3.5,4.5,5.5,6.5,7.5,8.5,9.5},{1,2,3,4,5,6,7,8,9,10}))+('🔢 DCF Engine'!$M$30*(1+$B7)/(C$6-$B7))/(1+C$6)^10)+('🔢 DCF Engine'!$C$60+'🔢 DCF Engine'!$C$61+'🔢 DCF Engine'!$C$62+'🔢 DCF Engine'!$C$63+'🔢 DCF Engine'!$C$64+'🔢 DCF Engine'!$C$65+'🔢 DCF Engine'!$C$66+'🔢 DCF Engine'!$C$67+'🔢 DCF Engine'!$C$68))/'🔢 DCF Engine'!$C$70,0)</f>
        <v>228.39522787930889</v>
      </c>
      <c r="D7" s="132">
        <f>IFERROR(((SUMPRODUCT('🔢 DCF Engine'!$C$30:$L$30/(1+D$6)^IF('⚙️ Assumptions'!$C$90="Y",{0.5,1.5,2.5,3.5,4.5,5.5,6.5,7.5,8.5,9.5},{1,2,3,4,5,6,7,8,9,10}))+('🔢 DCF Engine'!$M$30*(1+$B7)/(D$6-$B7))/(1+D$6)^10)+('🔢 DCF Engine'!$C$60+'🔢 DCF Engine'!$C$61+'🔢 DCF Engine'!$C$62+'🔢 DCF Engine'!$C$63+'🔢 DCF Engine'!$C$64+'🔢 DCF Engine'!$C$65+'🔢 DCF Engine'!$C$66+'🔢 DCF Engine'!$C$67+'🔢 DCF Engine'!$C$68))/'🔢 DCF Engine'!$C$70,0)</f>
        <v>205.6706526917722</v>
      </c>
      <c r="E7" s="132">
        <f>IFERROR(((SUMPRODUCT('🔢 DCF Engine'!$C$30:$L$30/(1+E$6)^IF('⚙️ Assumptions'!$C$90="Y",{0.5,1.5,2.5,3.5,4.5,5.5,6.5,7.5,8.5,9.5},{1,2,3,4,5,6,7,8,9,10}))+('🔢 DCF Engine'!$M$30*(1+$B7)/(E$6-$B7))/(1+E$6)^10)+('🔢 DCF Engine'!$C$60+'🔢 DCF Engine'!$C$61+'🔢 DCF Engine'!$C$62+'🔢 DCF Engine'!$C$63+'🔢 DCF Engine'!$C$64+'🔢 DCF Engine'!$C$65+'🔢 DCF Engine'!$C$66+'🔢 DCF Engine'!$C$67+'🔢 DCF Engine'!$C$68))/'🔢 DCF Engine'!$C$70,0)</f>
        <v>186.3376269073419</v>
      </c>
      <c r="F7" s="132">
        <f>IFERROR(((SUMPRODUCT('🔢 DCF Engine'!$C$30:$L$30/(1+F$6)^IF('⚙️ Assumptions'!$C$90="Y",{0.5,1.5,2.5,3.5,4.5,5.5,6.5,7.5,8.5,9.5},{1,2,3,4,5,6,7,8,9,10}))+('🔢 DCF Engine'!$M$30*(1+$B7)/(F$6-$B7))/(1+F$6)^10)+('🔢 DCF Engine'!$C$60+'🔢 DCF Engine'!$C$61+'🔢 DCF Engine'!$C$62+'🔢 DCF Engine'!$C$63+'🔢 DCF Engine'!$C$64+'🔢 DCF Engine'!$C$65+'🔢 DCF Engine'!$C$66+'🔢 DCF Engine'!$C$67+'🔢 DCF Engine'!$C$68))/'🔢 DCF Engine'!$C$70,0)</f>
        <v>169.71183613757793</v>
      </c>
      <c r="G7" s="132">
        <f>IFERROR(((SUMPRODUCT('🔢 DCF Engine'!$C$30:$L$30/(1+G$6)^IF('⚙️ Assumptions'!$C$90="Y",{0.5,1.5,2.5,3.5,4.5,5.5,6.5,7.5,8.5,9.5},{1,2,3,4,5,6,7,8,9,10}))+('🔢 DCF Engine'!$M$30*(1+$B7)/(G$6-$B7))/(1+G$6)^10)+('🔢 DCF Engine'!$C$60+'🔢 DCF Engine'!$C$61+'🔢 DCF Engine'!$C$62+'🔢 DCF Engine'!$C$63+'🔢 DCF Engine'!$C$64+'🔢 DCF Engine'!$C$65+'🔢 DCF Engine'!$C$66+'🔢 DCF Engine'!$C$67+'🔢 DCF Engine'!$C$68))/'🔢 DCF Engine'!$C$70,0)</f>
        <v>155.28034503727363</v>
      </c>
      <c r="H7" s="132">
        <f>IFERROR(((SUMPRODUCT('🔢 DCF Engine'!$C$30:$L$30/(1+H$6)^IF('⚙️ Assumptions'!$C$90="Y",{0.5,1.5,2.5,3.5,4.5,5.5,6.5,7.5,8.5,9.5},{1,2,3,4,5,6,7,8,9,10}))+('🔢 DCF Engine'!$M$30*(1+$B7)/(H$6-$B7))/(1+H$6)^10)+('🔢 DCF Engine'!$C$60+'🔢 DCF Engine'!$C$61+'🔢 DCF Engine'!$C$62+'🔢 DCF Engine'!$C$63+'🔢 DCF Engine'!$C$64+'🔢 DCF Engine'!$C$65+'🔢 DCF Engine'!$C$66+'🔢 DCF Engine'!$C$67+'🔢 DCF Engine'!$C$68))/'🔢 DCF Engine'!$C$70,0)</f>
        <v>142.65117459117388</v>
      </c>
      <c r="I7" s="132">
        <f>IFERROR(((SUMPRODUCT('🔢 DCF Engine'!$C$30:$L$30/(1+I$6)^IF('⚙️ Assumptions'!$C$90="Y",{0.5,1.5,2.5,3.5,4.5,5.5,6.5,7.5,8.5,9.5},{1,2,3,4,5,6,7,8,9,10}))+('🔢 DCF Engine'!$M$30*(1+$B7)/(I$6-$B7))/(1+I$6)^10)+('🔢 DCF Engine'!$C$60+'🔢 DCF Engine'!$C$61+'🔢 DCF Engine'!$C$62+'🔢 DCF Engine'!$C$63+'🔢 DCF Engine'!$C$64+'🔢 DCF Engine'!$C$65+'🔢 DCF Engine'!$C$66+'🔢 DCF Engine'!$C$67+'🔢 DCF Engine'!$C$68))/'🔢 DCF Engine'!$C$70,0)</f>
        <v>131.51968804497571</v>
      </c>
      <c r="J7" s="132">
        <f>IFERROR(((SUMPRODUCT('🔢 DCF Engine'!$C$30:$L$30/(1+J$6)^IF('⚙️ Assumptions'!$C$90="Y",{0.5,1.5,2.5,3.5,4.5,5.5,6.5,7.5,8.5,9.5},{1,2,3,4,5,6,7,8,9,10}))+('🔢 DCF Engine'!$M$30*(1+$B7)/(J$6-$B7))/(1+J$6)^10)+('🔢 DCF Engine'!$C$60+'🔢 DCF Engine'!$C$61+'🔢 DCF Engine'!$C$62+'🔢 DCF Engine'!$C$63+'🔢 DCF Engine'!$C$64+'🔢 DCF Engine'!$C$65+'🔢 DCF Engine'!$C$66+'🔢 DCF Engine'!$C$67+'🔢 DCF Engine'!$C$68))/'🔢 DCF Engine'!$C$70,0)</f>
        <v>121.64559274948439</v>
      </c>
    </row>
    <row r="8" spans="2:10" ht="15.75" customHeight="1" x14ac:dyDescent="0.45">
      <c r="B8" s="39">
        <v>2.5000000000000001E-2</v>
      </c>
      <c r="C8" s="132">
        <f>IFERROR(((SUMPRODUCT('🔢 DCF Engine'!$C$30:$L$30/(1+C$6)^IF('⚙️ Assumptions'!$C$90="Y",{0.5,1.5,2.5,3.5,4.5,5.5,6.5,7.5,8.5,9.5},{1,2,3,4,5,6,7,8,9,10}))+('🔢 DCF Engine'!$M$30*(1+$B8)/(C$6-$B8))/(1+C$6)^10)+('🔢 DCF Engine'!$C$60+'🔢 DCF Engine'!$C$61+'🔢 DCF Engine'!$C$62+'🔢 DCF Engine'!$C$63+'🔢 DCF Engine'!$C$64+'🔢 DCF Engine'!$C$65+'🔢 DCF Engine'!$C$66+'🔢 DCF Engine'!$C$67+'🔢 DCF Engine'!$C$68))/'🔢 DCF Engine'!$C$70,0)</f>
        <v>236.51607505904508</v>
      </c>
      <c r="D8" s="132">
        <f>IFERROR(((SUMPRODUCT('🔢 DCF Engine'!$C$30:$L$30/(1+D$6)^IF('⚙️ Assumptions'!$C$90="Y",{0.5,1.5,2.5,3.5,4.5,5.5,6.5,7.5,8.5,9.5},{1,2,3,4,5,6,7,8,9,10}))+('🔢 DCF Engine'!$M$30*(1+$B8)/(D$6-$B8))/(1+D$6)^10)+('🔢 DCF Engine'!$C$60+'🔢 DCF Engine'!$C$61+'🔢 DCF Engine'!$C$62+'🔢 DCF Engine'!$C$63+'🔢 DCF Engine'!$C$64+'🔢 DCF Engine'!$C$65+'🔢 DCF Engine'!$C$66+'🔢 DCF Engine'!$C$67+'🔢 DCF Engine'!$C$68))/'🔢 DCF Engine'!$C$70,0)</f>
        <v>212.28694697205194</v>
      </c>
      <c r="E8" s="132">
        <f>IFERROR(((SUMPRODUCT('🔢 DCF Engine'!$C$30:$L$30/(1+E$6)^IF('⚙️ Assumptions'!$C$90="Y",{0.5,1.5,2.5,3.5,4.5,5.5,6.5,7.5,8.5,9.5},{1,2,3,4,5,6,7,8,9,10}))+('🔢 DCF Engine'!$M$30*(1+$B8)/(E$6-$B8))/(1+E$6)^10)+('🔢 DCF Engine'!$C$60+'🔢 DCF Engine'!$C$61+'🔢 DCF Engine'!$C$62+'🔢 DCF Engine'!$C$63+'🔢 DCF Engine'!$C$64+'🔢 DCF Engine'!$C$65+'🔢 DCF Engine'!$C$66+'🔢 DCF Engine'!$C$67+'🔢 DCF Engine'!$C$68))/'🔢 DCF Engine'!$C$70,0)</f>
        <v>191.79617014283221</v>
      </c>
      <c r="F8" s="132">
        <f>IFERROR(((SUMPRODUCT('🔢 DCF Engine'!$C$30:$L$30/(1+F$6)^IF('⚙️ Assumptions'!$C$90="Y",{0.5,1.5,2.5,3.5,4.5,5.5,6.5,7.5,8.5,9.5},{1,2,3,4,5,6,7,8,9,10}))+('🔢 DCF Engine'!$M$30*(1+$B8)/(F$6-$B8))/(1+F$6)^10)+('🔢 DCF Engine'!$C$60+'🔢 DCF Engine'!$C$61+'🔢 DCF Engine'!$C$62+'🔢 DCF Engine'!$C$63+'🔢 DCF Engine'!$C$64+'🔢 DCF Engine'!$C$65+'🔢 DCF Engine'!$C$66+'🔢 DCF Engine'!$C$67+'🔢 DCF Engine'!$C$68))/'🔢 DCF Engine'!$C$70,0)</f>
        <v>174.26414319563526</v>
      </c>
      <c r="G8" s="132">
        <f>IFERROR(((SUMPRODUCT('🔢 DCF Engine'!$C$30:$L$30/(1+G$6)^IF('⚙️ Assumptions'!$C$90="Y",{0.5,1.5,2.5,3.5,4.5,5.5,6.5,7.5,8.5,9.5},{1,2,3,4,5,6,7,8,9,10}))+('🔢 DCF Engine'!$M$30*(1+$B8)/(G$6-$B8))/(1+G$6)^10)+('🔢 DCF Engine'!$C$60+'🔢 DCF Engine'!$C$61+'🔢 DCF Engine'!$C$62+'🔢 DCF Engine'!$C$63+'🔢 DCF Engine'!$C$64+'🔢 DCF Engine'!$C$65+'🔢 DCF Engine'!$C$66+'🔢 DCF Engine'!$C$67+'🔢 DCF Engine'!$C$68))/'🔢 DCF Engine'!$C$70,0)</f>
        <v>159.11275980894146</v>
      </c>
      <c r="H8" s="132">
        <f>IFERROR(((SUMPRODUCT('🔢 DCF Engine'!$C$30:$L$30/(1+H$6)^IF('⚙️ Assumptions'!$C$90="Y",{0.5,1.5,2.5,3.5,4.5,5.5,6.5,7.5,8.5,9.5},{1,2,3,4,5,6,7,8,9,10}))+('🔢 DCF Engine'!$M$30*(1+$B8)/(H$6-$B8))/(1+H$6)^10)+('🔢 DCF Engine'!$C$60+'🔢 DCF Engine'!$C$61+'🔢 DCF Engine'!$C$62+'🔢 DCF Engine'!$C$63+'🔢 DCF Engine'!$C$64+'🔢 DCF Engine'!$C$65+'🔢 DCF Engine'!$C$66+'🔢 DCF Engine'!$C$67+'🔢 DCF Engine'!$C$68))/'🔢 DCF Engine'!$C$70,0)</f>
        <v>145.90433209070758</v>
      </c>
      <c r="I8" s="132">
        <f>IFERROR(((SUMPRODUCT('🔢 DCF Engine'!$C$30:$L$30/(1+I$6)^IF('⚙️ Assumptions'!$C$90="Y",{0.5,1.5,2.5,3.5,4.5,5.5,6.5,7.5,8.5,9.5},{1,2,3,4,5,6,7,8,9,10}))+('🔢 DCF Engine'!$M$30*(1+$B8)/(I$6-$B8))/(1+I$6)^10)+('🔢 DCF Engine'!$C$60+'🔢 DCF Engine'!$C$61+'🔢 DCF Engine'!$C$62+'🔢 DCF Engine'!$C$63+'🔢 DCF Engine'!$C$64+'🔢 DCF Engine'!$C$65+'🔢 DCF Engine'!$C$66+'🔢 DCF Engine'!$C$67+'🔢 DCF Engine'!$C$68))/'🔢 DCF Engine'!$C$70,0)</f>
        <v>134.30145560903767</v>
      </c>
      <c r="J8" s="132">
        <f>IFERROR(((SUMPRODUCT('🔢 DCF Engine'!$C$30:$L$30/(1+J$6)^IF('⚙️ Assumptions'!$C$90="Y",{0.5,1.5,2.5,3.5,4.5,5.5,6.5,7.5,8.5,9.5},{1,2,3,4,5,6,7,8,9,10}))+('🔢 DCF Engine'!$M$30*(1+$B8)/(J$6-$B8))/(1+J$6)^10)+('🔢 DCF Engine'!$C$60+'🔢 DCF Engine'!$C$61+'🔢 DCF Engine'!$C$62+'🔢 DCF Engine'!$C$63+'🔢 DCF Engine'!$C$64+'🔢 DCF Engine'!$C$65+'🔢 DCF Engine'!$C$66+'🔢 DCF Engine'!$C$67+'🔢 DCF Engine'!$C$68))/'🔢 DCF Engine'!$C$70,0)</f>
        <v>124.03989213426908</v>
      </c>
    </row>
    <row r="9" spans="2:10" ht="15.75" customHeight="1" x14ac:dyDescent="0.45">
      <c r="B9" s="39">
        <v>2.75E-2</v>
      </c>
      <c r="C9" s="132">
        <f>IFERROR(((SUMPRODUCT('🔢 DCF Engine'!$C$30:$L$30/(1+C$6)^IF('⚙️ Assumptions'!$C$90="Y",{0.5,1.5,2.5,3.5,4.5,5.5,6.5,7.5,8.5,9.5},{1,2,3,4,5,6,7,8,9,10}))+('🔢 DCF Engine'!$M$30*(1+$B9)/(C$6-$B9))/(1+C$6)^10)+('🔢 DCF Engine'!$C$60+'🔢 DCF Engine'!$C$61+'🔢 DCF Engine'!$C$62+'🔢 DCF Engine'!$C$63+'🔢 DCF Engine'!$C$64+'🔢 DCF Engine'!$C$65+'🔢 DCF Engine'!$C$66+'🔢 DCF Engine'!$C$67+'🔢 DCF Engine'!$C$68))/'🔢 DCF Engine'!$C$70,0)</f>
        <v>245.37518107330283</v>
      </c>
      <c r="D9" s="132">
        <f>IFERROR(((SUMPRODUCT('🔢 DCF Engine'!$C$30:$L$30/(1+D$6)^IF('⚙️ Assumptions'!$C$90="Y",{0.5,1.5,2.5,3.5,4.5,5.5,6.5,7.5,8.5,9.5},{1,2,3,4,5,6,7,8,9,10}))+('🔢 DCF Engine'!$M$30*(1+$B9)/(D$6-$B9))/(1+D$6)^10)+('🔢 DCF Engine'!$C$60+'🔢 DCF Engine'!$C$61+'🔢 DCF Engine'!$C$62+'🔢 DCF Engine'!$C$63+'🔢 DCF Engine'!$C$64+'🔢 DCF Engine'!$C$65+'🔢 DCF Engine'!$C$66+'🔢 DCF Engine'!$C$67+'🔢 DCF Engine'!$C$68))/'🔢 DCF Engine'!$C$70,0)</f>
        <v>219.4545991090217</v>
      </c>
      <c r="E9" s="132">
        <f>IFERROR(((SUMPRODUCT('🔢 DCF Engine'!$C$30:$L$30/(1+E$6)^IF('⚙️ Assumptions'!$C$90="Y",{0.5,1.5,2.5,3.5,4.5,5.5,6.5,7.5,8.5,9.5},{1,2,3,4,5,6,7,8,9,10}))+('🔢 DCF Engine'!$M$30*(1+$B9)/(E$6-$B9))/(1+E$6)^10)+('🔢 DCF Engine'!$C$60+'🔢 DCF Engine'!$C$61+'🔢 DCF Engine'!$C$62+'🔢 DCF Engine'!$C$63+'🔢 DCF Engine'!$C$64+'🔢 DCF Engine'!$C$65+'🔢 DCF Engine'!$C$66+'🔢 DCF Engine'!$C$67+'🔢 DCF Engine'!$C$68))/'🔢 DCF Engine'!$C$70,0)</f>
        <v>197.67460131951412</v>
      </c>
      <c r="F9" s="132">
        <f>IFERROR(((SUMPRODUCT('🔢 DCF Engine'!$C$30:$L$30/(1+F$6)^IF('⚙️ Assumptions'!$C$90="Y",{0.5,1.5,2.5,3.5,4.5,5.5,6.5,7.5,8.5,9.5},{1,2,3,4,5,6,7,8,9,10}))+('🔢 DCF Engine'!$M$30*(1+$B9)/(F$6-$B9))/(1+F$6)^10)+('🔢 DCF Engine'!$C$60+'🔢 DCF Engine'!$C$61+'🔢 DCF Engine'!$C$62+'🔢 DCF Engine'!$C$63+'🔢 DCF Engine'!$C$64+'🔢 DCF Engine'!$C$65+'🔢 DCF Engine'!$C$66+'🔢 DCF Engine'!$C$67+'🔢 DCF Engine'!$C$68))/'🔢 DCF Engine'!$C$70,0)</f>
        <v>179.14161504355383</v>
      </c>
      <c r="G9" s="132">
        <f>IFERROR(((SUMPRODUCT('🔢 DCF Engine'!$C$30:$L$30/(1+G$6)^IF('⚙️ Assumptions'!$C$90="Y",{0.5,1.5,2.5,3.5,4.5,5.5,6.5,7.5,8.5,9.5},{1,2,3,4,5,6,7,8,9,10}))+('🔢 DCF Engine'!$M$30*(1+$B9)/(G$6-$B9))/(1+G$6)^10)+('🔢 DCF Engine'!$C$60+'🔢 DCF Engine'!$C$61+'🔢 DCF Engine'!$C$62+'🔢 DCF Engine'!$C$63+'🔢 DCF Engine'!$C$64+'🔢 DCF Engine'!$C$65+'🔢 DCF Engine'!$C$66+'🔢 DCF Engine'!$C$67+'🔢 DCF Engine'!$C$68))/'🔢 DCF Engine'!$C$70,0)</f>
        <v>163.20066889872047</v>
      </c>
      <c r="H9" s="132">
        <f>IFERROR(((SUMPRODUCT('🔢 DCF Engine'!$C$30:$L$30/(1+H$6)^IF('⚙️ Assumptions'!$C$90="Y",{0.5,1.5,2.5,3.5,4.5,5.5,6.5,7.5,8.5,9.5},{1,2,3,4,5,6,7,8,9,10}))+('🔢 DCF Engine'!$M$30*(1+$B9)/(H$6-$B9))/(1+H$6)^10)+('🔢 DCF Engine'!$C$60+'🔢 DCF Engine'!$C$61+'🔢 DCF Engine'!$C$62+'🔢 DCF Engine'!$C$63+'🔢 DCF Engine'!$C$64+'🔢 DCF Engine'!$C$65+'🔢 DCF Engine'!$C$66+'🔢 DCF Engine'!$C$67+'🔢 DCF Engine'!$C$68))/'🔢 DCF Engine'!$C$70,0)</f>
        <v>149.36081193396211</v>
      </c>
      <c r="I9" s="132">
        <f>IFERROR(((SUMPRODUCT('🔢 DCF Engine'!$C$30:$L$30/(1+I$6)^IF('⚙️ Assumptions'!$C$90="Y",{0.5,1.5,2.5,3.5,4.5,5.5,6.5,7.5,8.5,9.5},{1,2,3,4,5,6,7,8,9,10}))+('🔢 DCF Engine'!$M$30*(1+$B9)/(I$6-$B9))/(1+I$6)^10)+('🔢 DCF Engine'!$C$60+'🔢 DCF Engine'!$C$61+'🔢 DCF Engine'!$C$62+'🔢 DCF Engine'!$C$63+'🔢 DCF Engine'!$C$64+'🔢 DCF Engine'!$C$65+'🔢 DCF Engine'!$C$66+'🔢 DCF Engine'!$C$67+'🔢 DCF Engine'!$C$68))/'🔢 DCF Engine'!$C$70,0)</f>
        <v>137.24685655922093</v>
      </c>
      <c r="J9" s="132">
        <f>IFERROR(((SUMPRODUCT('🔢 DCF Engine'!$C$30:$L$30/(1+J$6)^IF('⚙️ Assumptions'!$C$90="Y",{0.5,1.5,2.5,3.5,4.5,5.5,6.5,7.5,8.5,9.5},{1,2,3,4,5,6,7,8,9,10}))+('🔢 DCF Engine'!$M$30*(1+$B9)/(J$6-$B9))/(1+J$6)^10)+('🔢 DCF Engine'!$C$60+'🔢 DCF Engine'!$C$61+'🔢 DCF Engine'!$C$62+'🔢 DCF Engine'!$C$63+'🔢 DCF Engine'!$C$64+'🔢 DCF Engine'!$C$65+'🔢 DCF Engine'!$C$66+'🔢 DCF Engine'!$C$67+'🔢 DCF Engine'!$C$68))/'🔢 DCF Engine'!$C$70,0)</f>
        <v>126.56720815154185</v>
      </c>
    </row>
    <row r="10" spans="2:10" ht="15.75" customHeight="1" x14ac:dyDescent="0.45">
      <c r="B10" s="39">
        <v>0.03</v>
      </c>
      <c r="C10" s="132">
        <f>IFERROR(((SUMPRODUCT('🔢 DCF Engine'!$C$30:$L$30/(1+C$6)^IF('⚙️ Assumptions'!$C$90="Y",{0.5,1.5,2.5,3.5,4.5,5.5,6.5,7.5,8.5,9.5},{1,2,3,4,5,6,7,8,9,10}))+('🔢 DCF Engine'!$M$30*(1+$B10)/(C$6-$B10))/(1+C$6)^10)+('🔢 DCF Engine'!$C$60+'🔢 DCF Engine'!$C$61+'🔢 DCF Engine'!$C$62+'🔢 DCF Engine'!$C$63+'🔢 DCF Engine'!$C$64+'🔢 DCF Engine'!$C$65+'🔢 DCF Engine'!$C$66+'🔢 DCF Engine'!$C$67+'🔢 DCF Engine'!$C$68))/'🔢 DCF Engine'!$C$70,0)</f>
        <v>255.07801146987077</v>
      </c>
      <c r="D10" s="132">
        <f>IFERROR(((SUMPRODUCT('🔢 DCF Engine'!$C$30:$L$30/(1+D$6)^IF('⚙️ Assumptions'!$C$90="Y",{0.5,1.5,2.5,3.5,4.5,5.5,6.5,7.5,8.5,9.5},{1,2,3,4,5,6,7,8,9,10}))+('🔢 DCF Engine'!$M$30*(1+$B10)/(D$6-$B10))/(1+D$6)^10)+('🔢 DCF Engine'!$C$60+'🔢 DCF Engine'!$C$61+'🔢 DCF Engine'!$C$62+'🔢 DCF Engine'!$C$63+'🔢 DCF Engine'!$C$64+'🔢 DCF Engine'!$C$65+'🔢 DCF Engine'!$C$66+'🔢 DCF Engine'!$C$67+'🔢 DCF Engine'!$C$68))/'🔢 DCF Engine'!$C$70,0)</f>
        <v>227.24552534485832</v>
      </c>
      <c r="E10" s="132">
        <f>IFERROR(((SUMPRODUCT('🔢 DCF Engine'!$C$30:$L$30/(1+E$6)^IF('⚙️ Assumptions'!$C$90="Y",{0.5,1.5,2.5,3.5,4.5,5.5,6.5,7.5,8.5,9.5},{1,2,3,4,5,6,7,8,9,10}))+('🔢 DCF Engine'!$M$30*(1+$B10)/(E$6-$B10))/(1+E$6)^10)+('🔢 DCF Engine'!$C$60+'🔢 DCF Engine'!$C$61+'🔢 DCF Engine'!$C$62+'🔢 DCF Engine'!$C$63+'🔢 DCF Engine'!$C$64+'🔢 DCF Engine'!$C$65+'🔢 DCF Engine'!$C$66+'🔢 DCF Engine'!$C$67+'🔢 DCF Engine'!$C$68))/'🔢 DCF Engine'!$C$70,0)</f>
        <v>204.02330699033058</v>
      </c>
      <c r="F10" s="132">
        <f>IFERROR(((SUMPRODUCT('🔢 DCF Engine'!$C$30:$L$30/(1+F$6)^IF('⚙️ Assumptions'!$C$90="Y",{0.5,1.5,2.5,3.5,4.5,5.5,6.5,7.5,8.5,9.5},{1,2,3,4,5,6,7,8,9,10}))+('🔢 DCF Engine'!$M$30*(1+$B10)/(F$6-$B10))/(1+F$6)^10)+('🔢 DCF Engine'!$C$60+'🔢 DCF Engine'!$C$61+'🔢 DCF Engine'!$C$62+'🔢 DCF Engine'!$C$63+'🔢 DCF Engine'!$C$64+'🔢 DCF Engine'!$C$65+'🔢 DCF Engine'!$C$66+'🔢 DCF Engine'!$C$67+'🔢 DCF Engine'!$C$68))/'🔢 DCF Engine'!$C$70,0)</f>
        <v>184.38038110242928</v>
      </c>
      <c r="G10" s="132">
        <f>IFERROR(((SUMPRODUCT('🔢 DCF Engine'!$C$30:$L$30/(1+G$6)^IF('⚙️ Assumptions'!$C$90="Y",{0.5,1.5,2.5,3.5,4.5,5.5,6.5,7.5,8.5,9.5},{1,2,3,4,5,6,7,8,9,10}))+('🔢 DCF Engine'!$M$30*(1+$B10)/(G$6-$B10))/(1+G$6)^10)+('🔢 DCF Engine'!$C$60+'🔢 DCF Engine'!$C$61+'🔢 DCF Engine'!$C$62+'🔢 DCF Engine'!$C$63+'🔢 DCF Engine'!$C$64+'🔢 DCF Engine'!$C$65+'🔢 DCF Engine'!$C$66+'🔢 DCF Engine'!$C$67+'🔢 DCF Engine'!$C$68))/'🔢 DCF Engine'!$C$70,0)</f>
        <v>167.57050275331179</v>
      </c>
      <c r="H10" s="132">
        <f>IFERROR(((SUMPRODUCT('🔢 DCF Engine'!$C$30:$L$30/(1+H$6)^IF('⚙️ Assumptions'!$C$90="Y",{0.5,1.5,2.5,3.5,4.5,5.5,6.5,7.5,8.5,9.5},{1,2,3,4,5,6,7,8,9,10}))+('🔢 DCF Engine'!$M$30*(1+$B10)/(H$6-$B10))/(1+H$6)^10)+('🔢 DCF Engine'!$C$60+'🔢 DCF Engine'!$C$61+'🔢 DCF Engine'!$C$62+'🔢 DCF Engine'!$C$63+'🔢 DCF Engine'!$C$64+'🔢 DCF Engine'!$C$65+'🔢 DCF Engine'!$C$66+'🔢 DCF Engine'!$C$67+'🔢 DCF Engine'!$C$68))/'🔢 DCF Engine'!$C$70,0)</f>
        <v>153.04029047678148</v>
      </c>
      <c r="I10" s="132">
        <f>IFERROR(((SUMPRODUCT('🔢 DCF Engine'!$C$30:$L$30/(1+I$6)^IF('⚙️ Assumptions'!$C$90="Y",{0.5,1.5,2.5,3.5,4.5,5.5,6.5,7.5,8.5,9.5},{1,2,3,4,5,6,7,8,9,10}))+('🔢 DCF Engine'!$M$30*(1+$B10)/(I$6-$B10))/(1+I$6)^10)+('🔢 DCF Engine'!$C$60+'🔢 DCF Engine'!$C$61+'🔢 DCF Engine'!$C$62+'🔢 DCF Engine'!$C$63+'🔢 DCF Engine'!$C$64+'🔢 DCF Engine'!$C$65+'🔢 DCF Engine'!$C$66+'🔢 DCF Engine'!$C$67+'🔢 DCF Engine'!$C$68))/'🔢 DCF Engine'!$C$70,0)</f>
        <v>140.37076665790016</v>
      </c>
      <c r="J10" s="132">
        <f>IFERROR(((SUMPRODUCT('🔢 DCF Engine'!$C$30:$L$30/(1+J$6)^IF('⚙️ Assumptions'!$C$90="Y",{0.5,1.5,2.5,3.5,4.5,5.5,6.5,7.5,8.5,9.5},{1,2,3,4,5,6,7,8,9,10}))+('🔢 DCF Engine'!$M$30*(1+$B10)/(J$6-$B10))/(1+J$6)^10)+('🔢 DCF Engine'!$C$60+'🔢 DCF Engine'!$C$61+'🔢 DCF Engine'!$C$62+'🔢 DCF Engine'!$C$63+'🔢 DCF Engine'!$C$64+'🔢 DCF Engine'!$C$65+'🔢 DCF Engine'!$C$66+'🔢 DCF Engine'!$C$67+'🔢 DCF Engine'!$C$68))/'🔢 DCF Engine'!$C$70,0)</f>
        <v>129.23894222694446</v>
      </c>
    </row>
    <row r="11" spans="2:10" ht="15.75" customHeight="1" x14ac:dyDescent="0.45">
      <c r="B11" s="39">
        <v>3.2500000000000001E-2</v>
      </c>
      <c r="C11" s="132">
        <f>IFERROR(((SUMPRODUCT('🔢 DCF Engine'!$C$30:$L$30/(1+C$6)^IF('⚙️ Assumptions'!$C$90="Y",{0.5,1.5,2.5,3.5,4.5,5.5,6.5,7.5,8.5,9.5},{1,2,3,4,5,6,7,8,9,10}))+('🔢 DCF Engine'!$M$30*(1+$B11)/(C$6-$B11))/(1+C$6)^10)+('🔢 DCF Engine'!$C$60+'🔢 DCF Engine'!$C$61+'🔢 DCF Engine'!$C$62+'🔢 DCF Engine'!$C$63+'🔢 DCF Engine'!$C$64+'🔢 DCF Engine'!$C$65+'🔢 DCF Engine'!$C$66+'🔢 DCF Engine'!$C$67+'🔢 DCF Engine'!$C$68))/'🔢 DCF Engine'!$C$70,0)</f>
        <v>265.75112490609553</v>
      </c>
      <c r="D11" s="132">
        <f>IFERROR(((SUMPRODUCT('🔢 DCF Engine'!$C$30:$L$30/(1+D$6)^IF('⚙️ Assumptions'!$C$90="Y",{0.5,1.5,2.5,3.5,4.5,5.5,6.5,7.5,8.5,9.5},{1,2,3,4,5,6,7,8,9,10}))+('🔢 DCF Engine'!$M$30*(1+$B11)/(D$6-$B11))/(1+D$6)^10)+('🔢 DCF Engine'!$C$60+'🔢 DCF Engine'!$C$61+'🔢 DCF Engine'!$C$62+'🔢 DCF Engine'!$C$63+'🔢 DCF Engine'!$C$64+'🔢 DCF Engine'!$C$65+'🔢 DCF Engine'!$C$66+'🔢 DCF Engine'!$C$67+'🔢 DCF Engine'!$C$68))/'🔢 DCF Engine'!$C$70,0)</f>
        <v>235.74471760213464</v>
      </c>
      <c r="E11" s="132">
        <f>IFERROR(((SUMPRODUCT('🔢 DCF Engine'!$C$30:$L$30/(1+E$6)^IF('⚙️ Assumptions'!$C$90="Y",{0.5,1.5,2.5,3.5,4.5,5.5,6.5,7.5,8.5,9.5},{1,2,3,4,5,6,7,8,9,10}))+('🔢 DCF Engine'!$M$30*(1+$B11)/(E$6-$B11))/(1+E$6)^10)+('🔢 DCF Engine'!$C$60+'🔢 DCF Engine'!$C$61+'🔢 DCF Engine'!$C$62+'🔢 DCF Engine'!$C$63+'🔢 DCF Engine'!$C$64+'🔢 DCF Engine'!$C$65+'🔢 DCF Engine'!$C$66+'🔢 DCF Engine'!$C$67+'🔢 DCF Engine'!$C$68))/'🔢 DCF Engine'!$C$70,0)</f>
        <v>210.90107146704835</v>
      </c>
      <c r="F11" s="132">
        <f>IFERROR(((SUMPRODUCT('🔢 DCF Engine'!$C$30:$L$30/(1+F$6)^IF('⚙️ Assumptions'!$C$90="Y",{0.5,1.5,2.5,3.5,4.5,5.5,6.5,7.5,8.5,9.5},{1,2,3,4,5,6,7,8,9,10}))+('🔢 DCF Engine'!$M$30*(1+$B11)/(F$6-$B11))/(1+F$6)^10)+('🔢 DCF Engine'!$C$60+'🔢 DCF Engine'!$C$61+'🔢 DCF Engine'!$C$62+'🔢 DCF Engine'!$C$63+'🔢 DCF Engine'!$C$64+'🔢 DCF Engine'!$C$65+'🔢 DCF Engine'!$C$66+'🔢 DCF Engine'!$C$67+'🔢 DCF Engine'!$C$68))/'🔢 DCF Engine'!$C$70,0)</f>
        <v>190.02212916583369</v>
      </c>
      <c r="G11" s="132">
        <f>IFERROR(((SUMPRODUCT('🔢 DCF Engine'!$C$30:$L$30/(1+G$6)^IF('⚙️ Assumptions'!$C$90="Y",{0.5,1.5,2.5,3.5,4.5,5.5,6.5,7.5,8.5,9.5},{1,2,3,4,5,6,7,8,9,10}))+('🔢 DCF Engine'!$M$30*(1+$B11)/(G$6-$B11))/(1+G$6)^10)+('🔢 DCF Engine'!$C$60+'🔢 DCF Engine'!$C$61+'🔢 DCF Engine'!$C$62+'🔢 DCF Engine'!$C$63+'🔢 DCF Engine'!$C$64+'🔢 DCF Engine'!$C$65+'🔢 DCF Engine'!$C$66+'🔢 DCF Engine'!$C$67+'🔢 DCF Engine'!$C$68))/'🔢 DCF Engine'!$C$70,0)</f>
        <v>172.25246759751681</v>
      </c>
      <c r="H11" s="132">
        <f>IFERROR(((SUMPRODUCT('🔢 DCF Engine'!$C$30:$L$30/(1+H$6)^IF('⚙️ Assumptions'!$C$90="Y",{0.5,1.5,2.5,3.5,4.5,5.5,6.5,7.5,8.5,9.5},{1,2,3,4,5,6,7,8,9,10}))+('🔢 DCF Engine'!$M$30*(1+$B11)/(H$6-$B11))/(1+H$6)^10)+('🔢 DCF Engine'!$C$60+'🔢 DCF Engine'!$C$61+'🔢 DCF Engine'!$C$62+'🔢 DCF Engine'!$C$63+'🔢 DCF Engine'!$C$64+'🔢 DCF Engine'!$C$65+'🔢 DCF Engine'!$C$66+'🔢 DCF Engine'!$C$67+'🔢 DCF Engine'!$C$68))/'🔢 DCF Engine'!$C$70,0)</f>
        <v>156.96506758912213</v>
      </c>
      <c r="I11" s="132">
        <f>IFERROR(((SUMPRODUCT('🔢 DCF Engine'!$C$30:$L$30/(1+I$6)^IF('⚙️ Assumptions'!$C$90="Y",{0.5,1.5,2.5,3.5,4.5,5.5,6.5,7.5,8.5,9.5},{1,2,3,4,5,6,7,8,9,10}))+('🔢 DCF Engine'!$M$30*(1+$B11)/(I$6-$B11))/(1+I$6)^10)+('🔢 DCF Engine'!$C$60+'🔢 DCF Engine'!$C$61+'🔢 DCF Engine'!$C$62+'🔢 DCF Engine'!$C$63+'🔢 DCF Engine'!$C$64+'🔢 DCF Engine'!$C$65+'🔢 DCF Engine'!$C$66+'🔢 DCF Engine'!$C$67+'🔢 DCF Engine'!$C$68))/'🔢 DCF Engine'!$C$70,0)</f>
        <v>143.68992113774681</v>
      </c>
      <c r="J11" s="132">
        <f>IFERROR(((SUMPRODUCT('🔢 DCF Engine'!$C$30:$L$30/(1+J$6)^IF('⚙️ Assumptions'!$C$90="Y",{0.5,1.5,2.5,3.5,4.5,5.5,6.5,7.5,8.5,9.5},{1,2,3,4,5,6,7,8,9,10}))+('🔢 DCF Engine'!$M$30*(1+$B11)/(J$6-$B11))/(1+J$6)^10)+('🔢 DCF Engine'!$C$60+'🔢 DCF Engine'!$C$61+'🔢 DCF Engine'!$C$62+'🔢 DCF Engine'!$C$63+'🔢 DCF Engine'!$C$64+'🔢 DCF Engine'!$C$65+'🔢 DCF Engine'!$C$66+'🔢 DCF Engine'!$C$67+'🔢 DCF Engine'!$C$68))/'🔢 DCF Engine'!$C$70,0)</f>
        <v>132.06783713031189</v>
      </c>
    </row>
    <row r="12" spans="2:10" ht="15.75" customHeight="1" x14ac:dyDescent="0.45">
      <c r="B12" s="39">
        <v>3.5000000000000003E-2</v>
      </c>
      <c r="C12" s="132">
        <f>IFERROR(((SUMPRODUCT('🔢 DCF Engine'!$C$30:$L$30/(1+C$6)^IF('⚙️ Assumptions'!$C$90="Y",{0.5,1.5,2.5,3.5,4.5,5.5,6.5,7.5,8.5,9.5},{1,2,3,4,5,6,7,8,9,10}))+('🔢 DCF Engine'!$M$30*(1+$B12)/(C$6-$B12))/(1+C$6)^10)+('🔢 DCF Engine'!$C$60+'🔢 DCF Engine'!$C$61+'🔢 DCF Engine'!$C$62+'🔢 DCF Engine'!$C$63+'🔢 DCF Engine'!$C$64+'🔢 DCF Engine'!$C$65+'🔢 DCF Engine'!$C$66+'🔢 DCF Engine'!$C$67+'🔢 DCF Engine'!$C$68))/'🔢 DCF Engine'!$C$70,0)</f>
        <v>277.54772396718607</v>
      </c>
      <c r="D12" s="132">
        <f>IFERROR(((SUMPRODUCT('🔢 DCF Engine'!$C$30:$L$30/(1+D$6)^IF('⚙️ Assumptions'!$C$90="Y",{0.5,1.5,2.5,3.5,4.5,5.5,6.5,7.5,8.5,9.5},{1,2,3,4,5,6,7,8,9,10}))+('🔢 DCF Engine'!$M$30*(1+$B12)/(D$6-$B12))/(1+D$6)^10)+('🔢 DCF Engine'!$C$60+'🔢 DCF Engine'!$C$61+'🔢 DCF Engine'!$C$62+'🔢 DCF Engine'!$C$63+'🔢 DCF Engine'!$C$64+'🔢 DCF Engine'!$C$65+'🔢 DCF Engine'!$C$66+'🔢 DCF Engine'!$C$67+'🔢 DCF Engine'!$C$68))/'🔢 DCF Engine'!$C$70,0)</f>
        <v>245.05335674105635</v>
      </c>
      <c r="E12" s="132">
        <f>IFERROR(((SUMPRODUCT('🔢 DCF Engine'!$C$30:$L$30/(1+E$6)^IF('⚙️ Assumptions'!$C$90="Y",{0.5,1.5,2.5,3.5,4.5,5.5,6.5,7.5,8.5,9.5},{1,2,3,4,5,6,7,8,9,10}))+('🔢 DCF Engine'!$M$30*(1+$B12)/(E$6-$B12))/(1+E$6)^10)+('🔢 DCF Engine'!$C$60+'🔢 DCF Engine'!$C$61+'🔢 DCF Engine'!$C$62+'🔢 DCF Engine'!$C$63+'🔢 DCF Engine'!$C$64+'🔢 DCF Engine'!$C$65+'🔢 DCF Engine'!$C$66+'🔢 DCF Engine'!$C$67+'🔢 DCF Engine'!$C$68))/'🔢 DCF Engine'!$C$70,0)</f>
        <v>218.37690242000249</v>
      </c>
      <c r="F12" s="132">
        <f>IFERROR(((SUMPRODUCT('🔢 DCF Engine'!$C$30:$L$30/(1+F$6)^IF('⚙️ Assumptions'!$C$90="Y",{0.5,1.5,2.5,3.5,4.5,5.5,6.5,7.5,8.5,9.5},{1,2,3,4,5,6,7,8,9,10}))+('🔢 DCF Engine'!$M$30*(1+$B12)/(F$6-$B12))/(1+F$6)^10)+('🔢 DCF Engine'!$C$60+'🔢 DCF Engine'!$C$61+'🔢 DCF Engine'!$C$62+'🔢 DCF Engine'!$C$63+'🔢 DCF Engine'!$C$64+'🔢 DCF Engine'!$C$65+'🔢 DCF Engine'!$C$66+'🔢 DCF Engine'!$C$67+'🔢 DCF Engine'!$C$68))/'🔢 DCF Engine'!$C$70,0)</f>
        <v>196.11521707431044</v>
      </c>
      <c r="G12" s="132">
        <f>IFERROR(((SUMPRODUCT('🔢 DCF Engine'!$C$30:$L$30/(1+G$6)^IF('⚙️ Assumptions'!$C$90="Y",{0.5,1.5,2.5,3.5,4.5,5.5,6.5,7.5,8.5,9.5},{1,2,3,4,5,6,7,8,9,10}))+('🔢 DCF Engine'!$M$30*(1+$B12)/(G$6-$B12))/(1+G$6)^10)+('🔢 DCF Engine'!$C$60+'🔢 DCF Engine'!$C$61+'🔢 DCF Engine'!$C$62+'🔢 DCF Engine'!$C$63+'🔢 DCF Engine'!$C$64+'🔢 DCF Engine'!$C$65+'🔢 DCF Engine'!$C$66+'🔢 DCF Engine'!$C$67+'🔢 DCF Engine'!$C$68))/'🔢 DCF Engine'!$C$70,0)</f>
        <v>177.28124465240367</v>
      </c>
      <c r="H12" s="132">
        <f>IFERROR(((SUMPRODUCT('🔢 DCF Engine'!$C$30:$L$30/(1+H$6)^IF('⚙️ Assumptions'!$C$90="Y",{0.5,1.5,2.5,3.5,4.5,5.5,6.5,7.5,8.5,9.5},{1,2,3,4,5,6,7,8,9,10}))+('🔢 DCF Engine'!$M$30*(1+$B12)/(H$6-$B12))/(1+H$6)^10)+('🔢 DCF Engine'!$C$60+'🔢 DCF Engine'!$C$61+'🔢 DCF Engine'!$C$62+'🔢 DCF Engine'!$C$63+'🔢 DCF Engine'!$C$64+'🔢 DCF Engine'!$C$65+'🔢 DCF Engine'!$C$66+'🔢 DCF Engine'!$C$67+'🔢 DCF Engine'!$C$68))/'🔢 DCF Engine'!$C$70,0)</f>
        <v>161.16051898507246</v>
      </c>
      <c r="I12" s="132">
        <f>IFERROR(((SUMPRODUCT('🔢 DCF Engine'!$C$30:$L$30/(1+I$6)^IF('⚙️ Assumptions'!$C$90="Y",{0.5,1.5,2.5,3.5,4.5,5.5,6.5,7.5,8.5,9.5},{1,2,3,4,5,6,7,8,9,10}))+('🔢 DCF Engine'!$M$30*(1+$B12)/(I$6-$B12))/(1+I$6)^10)+('🔢 DCF Engine'!$C$60+'🔢 DCF Engine'!$C$61+'🔢 DCF Engine'!$C$62+'🔢 DCF Engine'!$C$63+'🔢 DCF Engine'!$C$64+'🔢 DCF Engine'!$C$65+'🔢 DCF Engine'!$C$66+'🔢 DCF Engine'!$C$67+'🔢 DCF Engine'!$C$68))/'🔢 DCF Engine'!$C$70,0)</f>
        <v>147.22321461629323</v>
      </c>
      <c r="J12" s="132">
        <f>IFERROR(((SUMPRODUCT('🔢 DCF Engine'!$C$30:$L$30/(1+J$6)^IF('⚙️ Assumptions'!$C$90="Y",{0.5,1.5,2.5,3.5,4.5,5.5,6.5,7.5,8.5,9.5},{1,2,3,4,5,6,7,8,9,10}))+('🔢 DCF Engine'!$M$30*(1+$B12)/(J$6-$B12))/(1+J$6)^10)+('🔢 DCF Engine'!$C$60+'🔢 DCF Engine'!$C$61+'🔢 DCF Engine'!$C$62+'🔢 DCF Engine'!$C$63+'🔢 DCF Engine'!$C$64+'🔢 DCF Engine'!$C$65+'🔢 DCF Engine'!$C$66+'🔢 DCF Engine'!$C$67+'🔢 DCF Engine'!$C$68))/'🔢 DCF Engine'!$C$70,0)</f>
        <v>135.06818020964104</v>
      </c>
    </row>
    <row r="13" spans="2:10" ht="15.75" customHeight="1" x14ac:dyDescent="0.5">
      <c r="B13" s="3"/>
      <c r="C13" s="3"/>
      <c r="D13" s="3"/>
      <c r="E13" s="3"/>
      <c r="F13" s="3"/>
      <c r="G13" s="3"/>
      <c r="H13" s="3"/>
      <c r="I13" s="3"/>
      <c r="J13" s="3"/>
    </row>
    <row r="14" spans="2:10" ht="15.75" customHeight="1" x14ac:dyDescent="0.45">
      <c r="B14" s="249" t="s">
        <v>833</v>
      </c>
      <c r="C14" s="185"/>
      <c r="D14" s="185"/>
      <c r="E14" s="185"/>
      <c r="F14" s="185"/>
      <c r="G14" s="185"/>
      <c r="H14" s="185"/>
      <c r="I14" s="185"/>
      <c r="J14" s="185"/>
    </row>
    <row r="15" spans="2:10" ht="15.75" customHeight="1" x14ac:dyDescent="0.5">
      <c r="B15" s="3"/>
      <c r="C15" s="3"/>
      <c r="D15" s="3"/>
      <c r="E15" s="3"/>
      <c r="F15" s="3"/>
      <c r="G15" s="3"/>
      <c r="H15" s="3"/>
      <c r="I15" s="3"/>
      <c r="J15" s="3"/>
    </row>
    <row r="16" spans="2:10" ht="15.75" customHeight="1" x14ac:dyDescent="0.45">
      <c r="B16" s="187" t="s">
        <v>834</v>
      </c>
      <c r="C16" s="185"/>
      <c r="D16" s="185"/>
      <c r="E16" s="185"/>
      <c r="F16" s="185"/>
      <c r="G16" s="185"/>
      <c r="H16" s="185"/>
      <c r="I16" s="185"/>
      <c r="J16" s="185"/>
    </row>
    <row r="17" spans="2:10" ht="15.75" customHeight="1" x14ac:dyDescent="0.45">
      <c r="B17" s="96" t="s">
        <v>835</v>
      </c>
      <c r="C17" s="42">
        <v>8</v>
      </c>
      <c r="D17" s="42">
        <v>10</v>
      </c>
      <c r="E17" s="42">
        <v>12</v>
      </c>
      <c r="F17" s="42">
        <v>14</v>
      </c>
      <c r="G17" s="42">
        <v>16</v>
      </c>
      <c r="H17" s="42">
        <v>18</v>
      </c>
      <c r="I17" s="42">
        <v>20</v>
      </c>
      <c r="J17" s="42">
        <v>22</v>
      </c>
    </row>
    <row r="18" spans="2:10" ht="15.75" customHeight="1" x14ac:dyDescent="0.45">
      <c r="B18" s="39">
        <v>8.2500000000000004E-2</v>
      </c>
      <c r="C18" s="98">
        <f>IFERROR(SUMPRODUCT('🔢 DCF Engine'!$C$30:$L$30/(1+$B18)^IF('⚙️ Assumptions'!$C$90="Y",{0.5,1.5,2.5,3.5,4.5,5.5,6.5,7.5,8.5,9.5},{1,2,3,4,5,6,7,8,9,10}))+('🔢 DCF Engine'!$M$16*C$17)/(1+$B18)^10,0)</f>
        <v>2556929.6598235932</v>
      </c>
      <c r="D18" s="98">
        <f>IFERROR(SUMPRODUCT('🔢 DCF Engine'!$C$30:$L$30/(1+$B18)^IF('⚙️ Assumptions'!$C$90="Y",{0.5,1.5,2.5,3.5,4.5,5.5,6.5,7.5,8.5,9.5},{1,2,3,4,5,6,7,8,9,10}))+('🔢 DCF Engine'!$M$16*D$17)/(1+$B18)^10,0)</f>
        <v>3040458.3088835678</v>
      </c>
      <c r="E18" s="98">
        <f>IFERROR(SUMPRODUCT('🔢 DCF Engine'!$C$30:$L$30/(1+$B18)^IF('⚙️ Assumptions'!$C$90="Y",{0.5,1.5,2.5,3.5,4.5,5.5,6.5,7.5,8.5,9.5},{1,2,3,4,5,6,7,8,9,10}))+('🔢 DCF Engine'!$M$16*E$17)/(1+$B18)^10,0)</f>
        <v>3523986.9579435424</v>
      </c>
      <c r="F18" s="98">
        <f>IFERROR(SUMPRODUCT('🔢 DCF Engine'!$C$30:$L$30/(1+$B18)^IF('⚙️ Assumptions'!$C$90="Y",{0.5,1.5,2.5,3.5,4.5,5.5,6.5,7.5,8.5,9.5},{1,2,3,4,5,6,7,8,9,10}))+('🔢 DCF Engine'!$M$16*F$17)/(1+$B18)^10,0)</f>
        <v>4007515.607003517</v>
      </c>
      <c r="G18" s="98">
        <f>IFERROR(SUMPRODUCT('🔢 DCF Engine'!$C$30:$L$30/(1+$B18)^IF('⚙️ Assumptions'!$C$90="Y",{0.5,1.5,2.5,3.5,4.5,5.5,6.5,7.5,8.5,9.5},{1,2,3,4,5,6,7,8,9,10}))+('🔢 DCF Engine'!$M$16*G$17)/(1+$B18)^10,0)</f>
        <v>4491044.2560634911</v>
      </c>
      <c r="H18" s="98">
        <f>IFERROR(SUMPRODUCT('🔢 DCF Engine'!$C$30:$L$30/(1+$B18)^IF('⚙️ Assumptions'!$C$90="Y",{0.5,1.5,2.5,3.5,4.5,5.5,6.5,7.5,8.5,9.5},{1,2,3,4,5,6,7,8,9,10}))+('🔢 DCF Engine'!$M$16*H$17)/(1+$B18)^10,0)</f>
        <v>4974572.9051234657</v>
      </c>
      <c r="I18" s="98">
        <f>IFERROR(SUMPRODUCT('🔢 DCF Engine'!$C$30:$L$30/(1+$B18)^IF('⚙️ Assumptions'!$C$90="Y",{0.5,1.5,2.5,3.5,4.5,5.5,6.5,7.5,8.5,9.5},{1,2,3,4,5,6,7,8,9,10}))+('🔢 DCF Engine'!$M$16*I$17)/(1+$B18)^10,0)</f>
        <v>5458101.5541834403</v>
      </c>
      <c r="J18" s="98">
        <f>IFERROR(SUMPRODUCT('🔢 DCF Engine'!$C$30:$L$30/(1+$B18)^IF('⚙️ Assumptions'!$C$90="Y",{0.5,1.5,2.5,3.5,4.5,5.5,6.5,7.5,8.5,9.5},{1,2,3,4,5,6,7,8,9,10}))+('🔢 DCF Engine'!$M$16*J$17)/(1+$B18)^10,0)</f>
        <v>5941630.2032434158</v>
      </c>
    </row>
    <row r="19" spans="2:10" ht="15.75" customHeight="1" x14ac:dyDescent="0.45">
      <c r="B19" s="39">
        <v>8.7499999999999994E-2</v>
      </c>
      <c r="C19" s="98">
        <f>IFERROR(SUMPRODUCT('🔢 DCF Engine'!$C$30:$L$30/(1+$B19)^IF('⚙️ Assumptions'!$C$90="Y",{0.5,1.5,2.5,3.5,4.5,5.5,6.5,7.5,8.5,9.5},{1,2,3,4,5,6,7,8,9,10}))+('🔢 DCF Engine'!$M$16*C$17)/(1+$B19)^10,0)</f>
        <v>2449902.0343207684</v>
      </c>
      <c r="D19" s="98">
        <f>IFERROR(SUMPRODUCT('🔢 DCF Engine'!$C$30:$L$30/(1+$B19)^IF('⚙️ Assumptions'!$C$90="Y",{0.5,1.5,2.5,3.5,4.5,5.5,6.5,7.5,8.5,9.5},{1,2,3,4,5,6,7,8,9,10}))+('🔢 DCF Engine'!$M$16*D$17)/(1+$B19)^10,0)</f>
        <v>2911653.8428520355</v>
      </c>
      <c r="E19" s="98">
        <f>IFERROR(SUMPRODUCT('🔢 DCF Engine'!$C$30:$L$30/(1+$B19)^IF('⚙️ Assumptions'!$C$90="Y",{0.5,1.5,2.5,3.5,4.5,5.5,6.5,7.5,8.5,9.5},{1,2,3,4,5,6,7,8,9,10}))+('🔢 DCF Engine'!$M$16*E$17)/(1+$B19)^10,0)</f>
        <v>3373405.6513833022</v>
      </c>
      <c r="F19" s="98">
        <f>IFERROR(SUMPRODUCT('🔢 DCF Engine'!$C$30:$L$30/(1+$B19)^IF('⚙️ Assumptions'!$C$90="Y",{0.5,1.5,2.5,3.5,4.5,5.5,6.5,7.5,8.5,9.5},{1,2,3,4,5,6,7,8,9,10}))+('🔢 DCF Engine'!$M$16*F$17)/(1+$B19)^10,0)</f>
        <v>3835157.4599145693</v>
      </c>
      <c r="G19" s="98">
        <f>IFERROR(SUMPRODUCT('🔢 DCF Engine'!$C$30:$L$30/(1+$B19)^IF('⚙️ Assumptions'!$C$90="Y",{0.5,1.5,2.5,3.5,4.5,5.5,6.5,7.5,8.5,9.5},{1,2,3,4,5,6,7,8,9,10}))+('🔢 DCF Engine'!$M$16*G$17)/(1+$B19)^10,0)</f>
        <v>4296909.2684458364</v>
      </c>
      <c r="H19" s="98">
        <f>IFERROR(SUMPRODUCT('🔢 DCF Engine'!$C$30:$L$30/(1+$B19)^IF('⚙️ Assumptions'!$C$90="Y",{0.5,1.5,2.5,3.5,4.5,5.5,6.5,7.5,8.5,9.5},{1,2,3,4,5,6,7,8,9,10}))+('🔢 DCF Engine'!$M$16*H$17)/(1+$B19)^10,0)</f>
        <v>4758661.0769771021</v>
      </c>
      <c r="I19" s="98">
        <f>IFERROR(SUMPRODUCT('🔢 DCF Engine'!$C$30:$L$30/(1+$B19)^IF('⚙️ Assumptions'!$C$90="Y",{0.5,1.5,2.5,3.5,4.5,5.5,6.5,7.5,8.5,9.5},{1,2,3,4,5,6,7,8,9,10}))+('🔢 DCF Engine'!$M$16*I$17)/(1+$B19)^10,0)</f>
        <v>5220412.8855083706</v>
      </c>
      <c r="J19" s="98">
        <f>IFERROR(SUMPRODUCT('🔢 DCF Engine'!$C$30:$L$30/(1+$B19)^IF('⚙️ Assumptions'!$C$90="Y",{0.5,1.5,2.5,3.5,4.5,5.5,6.5,7.5,8.5,9.5},{1,2,3,4,5,6,7,8,9,10}))+('🔢 DCF Engine'!$M$16*J$17)/(1+$B19)^10,0)</f>
        <v>5682164.6940396372</v>
      </c>
    </row>
    <row r="20" spans="2:10" ht="15.75" customHeight="1" x14ac:dyDescent="0.45">
      <c r="B20" s="39">
        <v>9.2499999999999999E-2</v>
      </c>
      <c r="C20" s="98">
        <f>IFERROR(SUMPRODUCT('🔢 DCF Engine'!$C$30:$L$30/(1+$B20)^IF('⚙️ Assumptions'!$C$90="Y",{0.5,1.5,2.5,3.5,4.5,5.5,6.5,7.5,8.5,9.5},{1,2,3,4,5,6,7,8,9,10}))+('🔢 DCF Engine'!$M$16*C$17)/(1+$B20)^10,0)</f>
        <v>2347927.304012686</v>
      </c>
      <c r="D20" s="98">
        <f>IFERROR(SUMPRODUCT('🔢 DCF Engine'!$C$30:$L$30/(1+$B20)^IF('⚙️ Assumptions'!$C$90="Y",{0.5,1.5,2.5,3.5,4.5,5.5,6.5,7.5,8.5,9.5},{1,2,3,4,5,6,7,8,9,10}))+('🔢 DCF Engine'!$M$16*D$17)/(1+$B20)^10,0)</f>
        <v>2788976.2666586181</v>
      </c>
      <c r="E20" s="98">
        <f>IFERROR(SUMPRODUCT('🔢 DCF Engine'!$C$30:$L$30/(1+$B20)^IF('⚙️ Assumptions'!$C$90="Y",{0.5,1.5,2.5,3.5,4.5,5.5,6.5,7.5,8.5,9.5},{1,2,3,4,5,6,7,8,9,10}))+('🔢 DCF Engine'!$M$16*E$17)/(1+$B20)^10,0)</f>
        <v>3230025.2293045502</v>
      </c>
      <c r="F20" s="98">
        <f>IFERROR(SUMPRODUCT('🔢 DCF Engine'!$C$30:$L$30/(1+$B20)^IF('⚙️ Assumptions'!$C$90="Y",{0.5,1.5,2.5,3.5,4.5,5.5,6.5,7.5,8.5,9.5},{1,2,3,4,5,6,7,8,9,10}))+('🔢 DCF Engine'!$M$16*F$17)/(1+$B20)^10,0)</f>
        <v>3671074.1919504823</v>
      </c>
      <c r="G20" s="98">
        <f>IFERROR(SUMPRODUCT('🔢 DCF Engine'!$C$30:$L$30/(1+$B20)^IF('⚙️ Assumptions'!$C$90="Y",{0.5,1.5,2.5,3.5,4.5,5.5,6.5,7.5,8.5,9.5},{1,2,3,4,5,6,7,8,9,10}))+('🔢 DCF Engine'!$M$16*G$17)/(1+$B20)^10,0)</f>
        <v>4112123.1545964135</v>
      </c>
      <c r="H20" s="98">
        <f>IFERROR(SUMPRODUCT('🔢 DCF Engine'!$C$30:$L$30/(1+$B20)^IF('⚙️ Assumptions'!$C$90="Y",{0.5,1.5,2.5,3.5,4.5,5.5,6.5,7.5,8.5,9.5},{1,2,3,4,5,6,7,8,9,10}))+('🔢 DCF Engine'!$M$16*H$17)/(1+$B20)^10,0)</f>
        <v>4553172.1172423456</v>
      </c>
      <c r="I20" s="98">
        <f>IFERROR(SUMPRODUCT('🔢 DCF Engine'!$C$30:$L$30/(1+$B20)^IF('⚙️ Assumptions'!$C$90="Y",{0.5,1.5,2.5,3.5,4.5,5.5,6.5,7.5,8.5,9.5},{1,2,3,4,5,6,7,8,9,10}))+('🔢 DCF Engine'!$M$16*I$17)/(1+$B20)^10,0)</f>
        <v>4994221.0798882777</v>
      </c>
      <c r="J20" s="98">
        <f>IFERROR(SUMPRODUCT('🔢 DCF Engine'!$C$30:$L$30/(1+$B20)^IF('⚙️ Assumptions'!$C$90="Y",{0.5,1.5,2.5,3.5,4.5,5.5,6.5,7.5,8.5,9.5},{1,2,3,4,5,6,7,8,9,10}))+('🔢 DCF Engine'!$M$16*J$17)/(1+$B20)^10,0)</f>
        <v>5435270.0425342098</v>
      </c>
    </row>
    <row r="21" spans="2:10" ht="15.75" customHeight="1" x14ac:dyDescent="0.45">
      <c r="B21" s="39">
        <v>9.7500000000000003E-2</v>
      </c>
      <c r="C21" s="98">
        <f>IFERROR(SUMPRODUCT('🔢 DCF Engine'!$C$30:$L$30/(1+$B21)^IF('⚙️ Assumptions'!$C$90="Y",{0.5,1.5,2.5,3.5,4.5,5.5,6.5,7.5,8.5,9.5},{1,2,3,4,5,6,7,8,9,10}))+('🔢 DCF Engine'!$M$16*C$17)/(1+$B21)^10,0)</f>
        <v>2250742.136136109</v>
      </c>
      <c r="D21" s="98">
        <f>IFERROR(SUMPRODUCT('🔢 DCF Engine'!$C$30:$L$30/(1+$B21)^IF('⚙️ Assumptions'!$C$90="Y",{0.5,1.5,2.5,3.5,4.5,5.5,6.5,7.5,8.5,9.5},{1,2,3,4,5,6,7,8,9,10}))+('🔢 DCF Engine'!$M$16*D$17)/(1+$B21)^10,0)</f>
        <v>2672104.7235982264</v>
      </c>
      <c r="E21" s="98">
        <f>IFERROR(SUMPRODUCT('🔢 DCF Engine'!$C$30:$L$30/(1+$B21)^IF('⚙️ Assumptions'!$C$90="Y",{0.5,1.5,2.5,3.5,4.5,5.5,6.5,7.5,8.5,9.5},{1,2,3,4,5,6,7,8,9,10}))+('🔢 DCF Engine'!$M$16*E$17)/(1+$B21)^10,0)</f>
        <v>3093467.3110603439</v>
      </c>
      <c r="F21" s="98">
        <f>IFERROR(SUMPRODUCT('🔢 DCF Engine'!$C$30:$L$30/(1+$B21)^IF('⚙️ Assumptions'!$C$90="Y",{0.5,1.5,2.5,3.5,4.5,5.5,6.5,7.5,8.5,9.5},{1,2,3,4,5,6,7,8,9,10}))+('🔢 DCF Engine'!$M$16*F$17)/(1+$B21)^10,0)</f>
        <v>3514829.8985224613</v>
      </c>
      <c r="G21" s="98">
        <f>IFERROR(SUMPRODUCT('🔢 DCF Engine'!$C$30:$L$30/(1+$B21)^IF('⚙️ Assumptions'!$C$90="Y",{0.5,1.5,2.5,3.5,4.5,5.5,6.5,7.5,8.5,9.5},{1,2,3,4,5,6,7,8,9,10}))+('🔢 DCF Engine'!$M$16*G$17)/(1+$B21)^10,0)</f>
        <v>3936192.4859845787</v>
      </c>
      <c r="H21" s="98">
        <f>IFERROR(SUMPRODUCT('🔢 DCF Engine'!$C$30:$L$30/(1+$B21)^IF('⚙️ Assumptions'!$C$90="Y",{0.5,1.5,2.5,3.5,4.5,5.5,6.5,7.5,8.5,9.5},{1,2,3,4,5,6,7,8,9,10}))+('🔢 DCF Engine'!$M$16*H$17)/(1+$B21)^10,0)</f>
        <v>4357555.0734466957</v>
      </c>
      <c r="I21" s="98">
        <f>IFERROR(SUMPRODUCT('🔢 DCF Engine'!$C$30:$L$30/(1+$B21)^IF('⚙️ Assumptions'!$C$90="Y",{0.5,1.5,2.5,3.5,4.5,5.5,6.5,7.5,8.5,9.5},{1,2,3,4,5,6,7,8,9,10}))+('🔢 DCF Engine'!$M$16*I$17)/(1+$B21)^10,0)</f>
        <v>4778917.6609088127</v>
      </c>
      <c r="J21" s="98">
        <f>IFERROR(SUMPRODUCT('🔢 DCF Engine'!$C$30:$L$30/(1+$B21)^IF('⚙️ Assumptions'!$C$90="Y",{0.5,1.5,2.5,3.5,4.5,5.5,6.5,7.5,8.5,9.5},{1,2,3,4,5,6,7,8,9,10}))+('🔢 DCF Engine'!$M$16*J$17)/(1+$B21)^10,0)</f>
        <v>5200280.2483709306</v>
      </c>
    </row>
    <row r="22" spans="2:10" ht="15.75" customHeight="1" x14ac:dyDescent="0.45">
      <c r="B22" s="39">
        <v>0.10249999999999999</v>
      </c>
      <c r="C22" s="98">
        <f>IFERROR(SUMPRODUCT('🔢 DCF Engine'!$C$30:$L$30/(1+$B22)^IF('⚙️ Assumptions'!$C$90="Y",{0.5,1.5,2.5,3.5,4.5,5.5,6.5,7.5,8.5,9.5},{1,2,3,4,5,6,7,8,9,10}))+('🔢 DCF Engine'!$M$16*C$17)/(1+$B22)^10,0)</f>
        <v>2158098.1296814415</v>
      </c>
      <c r="D22" s="98">
        <f>IFERROR(SUMPRODUCT('🔢 DCF Engine'!$C$30:$L$30/(1+$B22)^IF('⚙️ Assumptions'!$C$90="Y",{0.5,1.5,2.5,3.5,4.5,5.5,6.5,7.5,8.5,9.5},{1,2,3,4,5,6,7,8,9,10}))+('🔢 DCF Engine'!$M$16*D$17)/(1+$B22)^10,0)</f>
        <v>2560736.6116152275</v>
      </c>
      <c r="E22" s="98">
        <f>IFERROR(SUMPRODUCT('🔢 DCF Engine'!$C$30:$L$30/(1+$B22)^IF('⚙️ Assumptions'!$C$90="Y",{0.5,1.5,2.5,3.5,4.5,5.5,6.5,7.5,8.5,9.5},{1,2,3,4,5,6,7,8,9,10}))+('🔢 DCF Engine'!$M$16*E$17)/(1+$B22)^10,0)</f>
        <v>2963375.0935490136</v>
      </c>
      <c r="F22" s="98">
        <f>IFERROR(SUMPRODUCT('🔢 DCF Engine'!$C$30:$L$30/(1+$B22)^IF('⚙️ Assumptions'!$C$90="Y",{0.5,1.5,2.5,3.5,4.5,5.5,6.5,7.5,8.5,9.5},{1,2,3,4,5,6,7,8,9,10}))+('🔢 DCF Engine'!$M$16*F$17)/(1+$B22)^10,0)</f>
        <v>3366013.5754827997</v>
      </c>
      <c r="G22" s="98">
        <f>IFERROR(SUMPRODUCT('🔢 DCF Engine'!$C$30:$L$30/(1+$B22)^IF('⚙️ Assumptions'!$C$90="Y",{0.5,1.5,2.5,3.5,4.5,5.5,6.5,7.5,8.5,9.5},{1,2,3,4,5,6,7,8,9,10}))+('🔢 DCF Engine'!$M$16*G$17)/(1+$B22)^10,0)</f>
        <v>3768652.0574165857</v>
      </c>
      <c r="H22" s="98">
        <f>IFERROR(SUMPRODUCT('🔢 DCF Engine'!$C$30:$L$30/(1+$B22)^IF('⚙️ Assumptions'!$C$90="Y",{0.5,1.5,2.5,3.5,4.5,5.5,6.5,7.5,8.5,9.5},{1,2,3,4,5,6,7,8,9,10}))+('🔢 DCF Engine'!$M$16*H$17)/(1+$B22)^10,0)</f>
        <v>4171290.5393503713</v>
      </c>
      <c r="I22" s="98">
        <f>IFERROR(SUMPRODUCT('🔢 DCF Engine'!$C$30:$L$30/(1+$B22)^IF('⚙️ Assumptions'!$C$90="Y",{0.5,1.5,2.5,3.5,4.5,5.5,6.5,7.5,8.5,9.5},{1,2,3,4,5,6,7,8,9,10}))+('🔢 DCF Engine'!$M$16*I$17)/(1+$B22)^10,0)</f>
        <v>4573929.0212841574</v>
      </c>
      <c r="J22" s="98">
        <f>IFERROR(SUMPRODUCT('🔢 DCF Engine'!$C$30:$L$30/(1+$B22)^IF('⚙️ Assumptions'!$C$90="Y",{0.5,1.5,2.5,3.5,4.5,5.5,6.5,7.5,8.5,9.5},{1,2,3,4,5,6,7,8,9,10}))+('🔢 DCF Engine'!$M$16*J$17)/(1+$B22)^10,0)</f>
        <v>4976567.5032179439</v>
      </c>
    </row>
    <row r="23" spans="2:10" ht="15.75" customHeight="1" x14ac:dyDescent="0.45">
      <c r="B23" s="39">
        <v>0.1075</v>
      </c>
      <c r="C23" s="98">
        <f>IFERROR(SUMPRODUCT('🔢 DCF Engine'!$C$30:$L$30/(1+$B23)^IF('⚙️ Assumptions'!$C$90="Y",{0.5,1.5,2.5,3.5,4.5,5.5,6.5,7.5,8.5,9.5},{1,2,3,4,5,6,7,8,9,10}))+('🔢 DCF Engine'!$M$16*C$17)/(1+$B23)^10,0)</f>
        <v>2069760.9029307445</v>
      </c>
      <c r="D23" s="98">
        <f>IFERROR(SUMPRODUCT('🔢 DCF Engine'!$C$30:$L$30/(1+$B23)^IF('⚙️ Assumptions'!$C$90="Y",{0.5,1.5,2.5,3.5,4.5,5.5,6.5,7.5,8.5,9.5},{1,2,3,4,5,6,7,8,9,10}))+('🔢 DCF Engine'!$M$16*D$17)/(1+$B23)^10,0)</f>
        <v>2454586.4650451429</v>
      </c>
      <c r="E23" s="98">
        <f>IFERROR(SUMPRODUCT('🔢 DCF Engine'!$C$30:$L$30/(1+$B23)^IF('⚙️ Assumptions'!$C$90="Y",{0.5,1.5,2.5,3.5,4.5,5.5,6.5,7.5,8.5,9.5},{1,2,3,4,5,6,7,8,9,10}))+('🔢 DCF Engine'!$M$16*E$17)/(1+$B23)^10,0)</f>
        <v>2839412.0271595418</v>
      </c>
      <c r="F23" s="98">
        <f>IFERROR(SUMPRODUCT('🔢 DCF Engine'!$C$30:$L$30/(1+$B23)^IF('⚙️ Assumptions'!$C$90="Y",{0.5,1.5,2.5,3.5,4.5,5.5,6.5,7.5,8.5,9.5},{1,2,3,4,5,6,7,8,9,10}))+('🔢 DCF Engine'!$M$16*F$17)/(1+$B23)^10,0)</f>
        <v>3224237.5892739408</v>
      </c>
      <c r="G23" s="98">
        <f>IFERROR(SUMPRODUCT('🔢 DCF Engine'!$C$30:$L$30/(1+$B23)^IF('⚙️ Assumptions'!$C$90="Y",{0.5,1.5,2.5,3.5,4.5,5.5,6.5,7.5,8.5,9.5},{1,2,3,4,5,6,7,8,9,10}))+('🔢 DCF Engine'!$M$16*G$17)/(1+$B23)^10,0)</f>
        <v>3609063.1513883397</v>
      </c>
      <c r="H23" s="98">
        <f>IFERROR(SUMPRODUCT('🔢 DCF Engine'!$C$30:$L$30/(1+$B23)^IF('⚙️ Assumptions'!$C$90="Y",{0.5,1.5,2.5,3.5,4.5,5.5,6.5,7.5,8.5,9.5},{1,2,3,4,5,6,7,8,9,10}))+('🔢 DCF Engine'!$M$16*H$17)/(1+$B23)^10,0)</f>
        <v>3993888.7135027377</v>
      </c>
      <c r="I23" s="98">
        <f>IFERROR(SUMPRODUCT('🔢 DCF Engine'!$C$30:$L$30/(1+$B23)^IF('⚙️ Assumptions'!$C$90="Y",{0.5,1.5,2.5,3.5,4.5,5.5,6.5,7.5,8.5,9.5},{1,2,3,4,5,6,7,8,9,10}))+('🔢 DCF Engine'!$M$16*I$17)/(1+$B23)^10,0)</f>
        <v>4378714.2756171366</v>
      </c>
      <c r="J23" s="98">
        <f>IFERROR(SUMPRODUCT('🔢 DCF Engine'!$C$30:$L$30/(1+$B23)^IF('⚙️ Assumptions'!$C$90="Y",{0.5,1.5,2.5,3.5,4.5,5.5,6.5,7.5,8.5,9.5},{1,2,3,4,5,6,7,8,9,10}))+('🔢 DCF Engine'!$M$16*J$17)/(1+$B23)^10,0)</f>
        <v>4763539.8377315355</v>
      </c>
    </row>
    <row r="24" spans="2:10" ht="15.75" customHeight="1" x14ac:dyDescent="0.45">
      <c r="B24" s="39">
        <v>0.1125</v>
      </c>
      <c r="C24" s="98">
        <f>IFERROR(SUMPRODUCT('🔢 DCF Engine'!$C$30:$L$30/(1+$B24)^IF('⚙️ Assumptions'!$C$90="Y",{0.5,1.5,2.5,3.5,4.5,5.5,6.5,7.5,8.5,9.5},{1,2,3,4,5,6,7,8,9,10}))+('🔢 DCF Engine'!$M$16*C$17)/(1+$B24)^10,0)</f>
        <v>1985509.2406688221</v>
      </c>
      <c r="D24" s="98">
        <f>IFERROR(SUMPRODUCT('🔢 DCF Engine'!$C$30:$L$30/(1+$B24)^IF('⚙️ Assumptions'!$C$90="Y",{0.5,1.5,2.5,3.5,4.5,5.5,6.5,7.5,8.5,9.5},{1,2,3,4,5,6,7,8,9,10}))+('🔢 DCF Engine'!$M$16*D$17)/(1+$B24)^10,0)</f>
        <v>2353384.9096250073</v>
      </c>
      <c r="E24" s="98">
        <f>IFERROR(SUMPRODUCT('🔢 DCF Engine'!$C$30:$L$30/(1+$B24)^IF('⚙️ Assumptions'!$C$90="Y",{0.5,1.5,2.5,3.5,4.5,5.5,6.5,7.5,8.5,9.5},{1,2,3,4,5,6,7,8,9,10}))+('🔢 DCF Engine'!$M$16*E$17)/(1+$B24)^10,0)</f>
        <v>2721260.5785811925</v>
      </c>
      <c r="F24" s="98">
        <f>IFERROR(SUMPRODUCT('🔢 DCF Engine'!$C$30:$L$30/(1+$B24)^IF('⚙️ Assumptions'!$C$90="Y",{0.5,1.5,2.5,3.5,4.5,5.5,6.5,7.5,8.5,9.5},{1,2,3,4,5,6,7,8,9,10}))+('🔢 DCF Engine'!$M$16*F$17)/(1+$B24)^10,0)</f>
        <v>3089136.2475373778</v>
      </c>
      <c r="G24" s="98">
        <f>IFERROR(SUMPRODUCT('🔢 DCF Engine'!$C$30:$L$30/(1+$B24)^IF('⚙️ Assumptions'!$C$90="Y",{0.5,1.5,2.5,3.5,4.5,5.5,6.5,7.5,8.5,9.5},{1,2,3,4,5,6,7,8,9,10}))+('🔢 DCF Engine'!$M$16*G$17)/(1+$B24)^10,0)</f>
        <v>3457011.916493563</v>
      </c>
      <c r="H24" s="98">
        <f>IFERROR(SUMPRODUCT('🔢 DCF Engine'!$C$30:$L$30/(1+$B24)^IF('⚙️ Assumptions'!$C$90="Y",{0.5,1.5,2.5,3.5,4.5,5.5,6.5,7.5,8.5,9.5},{1,2,3,4,5,6,7,8,9,10}))+('🔢 DCF Engine'!$M$16*H$17)/(1+$B24)^10,0)</f>
        <v>3824887.5854497482</v>
      </c>
      <c r="I24" s="98">
        <f>IFERROR(SUMPRODUCT('🔢 DCF Engine'!$C$30:$L$30/(1+$B24)^IF('⚙️ Assumptions'!$C$90="Y",{0.5,1.5,2.5,3.5,4.5,5.5,6.5,7.5,8.5,9.5},{1,2,3,4,5,6,7,8,9,10}))+('🔢 DCF Engine'!$M$16*I$17)/(1+$B24)^10,0)</f>
        <v>4192763.2544059334</v>
      </c>
      <c r="J24" s="98">
        <f>IFERROR(SUMPRODUCT('🔢 DCF Engine'!$C$30:$L$30/(1+$B24)^IF('⚙️ Assumptions'!$C$90="Y",{0.5,1.5,2.5,3.5,4.5,5.5,6.5,7.5,8.5,9.5},{1,2,3,4,5,6,7,8,9,10}))+('🔢 DCF Engine'!$M$16*J$17)/(1+$B24)^10,0)</f>
        <v>4560638.9233621191</v>
      </c>
    </row>
    <row r="25" spans="2:10" ht="15.75" customHeight="1" x14ac:dyDescent="0.45">
      <c r="B25" s="39">
        <v>0.11749999999999999</v>
      </c>
      <c r="C25" s="98">
        <f>IFERROR(SUMPRODUCT('🔢 DCF Engine'!$C$30:$L$30/(1+$B25)^IF('⚙️ Assumptions'!$C$90="Y",{0.5,1.5,2.5,3.5,4.5,5.5,6.5,7.5,8.5,9.5},{1,2,3,4,5,6,7,8,9,10}))+('🔢 DCF Engine'!$M$16*C$17)/(1+$B25)^10,0)</f>
        <v>1905134.2969140713</v>
      </c>
      <c r="D25" s="98">
        <f>IFERROR(SUMPRODUCT('🔢 DCF Engine'!$C$30:$L$30/(1+$B25)^IF('⚙️ Assumptions'!$C$90="Y",{0.5,1.5,2.5,3.5,4.5,5.5,6.5,7.5,8.5,9.5},{1,2,3,4,5,6,7,8,9,10}))+('🔢 DCF Engine'!$M$16*D$17)/(1+$B25)^10,0)</f>
        <v>2256877.6856652661</v>
      </c>
      <c r="E25" s="98">
        <f>IFERROR(SUMPRODUCT('🔢 DCF Engine'!$C$30:$L$30/(1+$B25)^IF('⚙️ Assumptions'!$C$90="Y",{0.5,1.5,2.5,3.5,4.5,5.5,6.5,7.5,8.5,9.5},{1,2,3,4,5,6,7,8,9,10}))+('🔢 DCF Engine'!$M$16*E$17)/(1+$B25)^10,0)</f>
        <v>2608621.0744164614</v>
      </c>
      <c r="F25" s="98">
        <f>IFERROR(SUMPRODUCT('🔢 DCF Engine'!$C$30:$L$30/(1+$B25)^IF('⚙️ Assumptions'!$C$90="Y",{0.5,1.5,2.5,3.5,4.5,5.5,6.5,7.5,8.5,9.5},{1,2,3,4,5,6,7,8,9,10}))+('🔢 DCF Engine'!$M$16*F$17)/(1+$B25)^10,0)</f>
        <v>2960364.4631676562</v>
      </c>
      <c r="G25" s="98">
        <f>IFERROR(SUMPRODUCT('🔢 DCF Engine'!$C$30:$L$30/(1+$B25)^IF('⚙️ Assumptions'!$C$90="Y",{0.5,1.5,2.5,3.5,4.5,5.5,6.5,7.5,8.5,9.5},{1,2,3,4,5,6,7,8,9,10}))+('🔢 DCF Engine'!$M$16*G$17)/(1+$B25)^10,0)</f>
        <v>3312107.8519188515</v>
      </c>
      <c r="H25" s="98">
        <f>IFERROR(SUMPRODUCT('🔢 DCF Engine'!$C$30:$L$30/(1+$B25)^IF('⚙️ Assumptions'!$C$90="Y",{0.5,1.5,2.5,3.5,4.5,5.5,6.5,7.5,8.5,9.5},{1,2,3,4,5,6,7,8,9,10}))+('🔢 DCF Engine'!$M$16*H$17)/(1+$B25)^10,0)</f>
        <v>3663851.2406700463</v>
      </c>
      <c r="I25" s="98">
        <f>IFERROR(SUMPRODUCT('🔢 DCF Engine'!$C$30:$L$30/(1+$B25)^IF('⚙️ Assumptions'!$C$90="Y",{0.5,1.5,2.5,3.5,4.5,5.5,6.5,7.5,8.5,9.5},{1,2,3,4,5,6,7,8,9,10}))+('🔢 DCF Engine'!$M$16*I$17)/(1+$B25)^10,0)</f>
        <v>4015594.6294212416</v>
      </c>
      <c r="J25" s="98">
        <f>IFERROR(SUMPRODUCT('🔢 DCF Engine'!$C$30:$L$30/(1+$B25)^IF('⚙️ Assumptions'!$C$90="Y",{0.5,1.5,2.5,3.5,4.5,5.5,6.5,7.5,8.5,9.5},{1,2,3,4,5,6,7,8,9,10}))+('🔢 DCF Engine'!$M$16*J$17)/(1+$B25)^10,0)</f>
        <v>4367338.0181724364</v>
      </c>
    </row>
  </sheetData>
  <mergeCells count="4">
    <mergeCell ref="B16:J16"/>
    <mergeCell ref="B14:J14"/>
    <mergeCell ref="B5:J5"/>
    <mergeCell ref="B2:J2"/>
  </mergeCells>
  <conditionalFormatting sqref="C7:J12">
    <cfRule type="colorScale" priority="1">
      <colorScale>
        <cfvo type="min"/>
        <cfvo type="percentile" val="50"/>
        <cfvo type="max"/>
        <color rgb="FFF8696B"/>
        <color rgb="FFFFEB84"/>
        <color rgb="FF63BE7B"/>
      </colorScale>
    </cfRule>
  </conditionalFormatting>
  <conditionalFormatting sqref="C18:J25">
    <cfRule type="colorScale" priority="2">
      <colorScale>
        <cfvo type="min"/>
        <cfvo type="percentile" val="50"/>
        <cfvo type="max"/>
        <color rgb="FFF8696B"/>
        <color rgb="FFFFEB84"/>
        <color rgb="FF63BE7B"/>
      </colorScale>
    </cfRule>
  </conditionalFormatting>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B9BD5"/>
  </sheetPr>
  <dimension ref="B2:D48"/>
  <sheetViews>
    <sheetView showGridLines="0" workbookViewId="0">
      <pane xSplit="1" ySplit="5" topLeftCell="B40" activePane="bottomRight" state="frozen"/>
      <selection pane="topRight"/>
      <selection pane="bottomLeft"/>
      <selection pane="bottomRight" activeCell="D58" sqref="D58"/>
    </sheetView>
  </sheetViews>
  <sheetFormatPr defaultRowHeight="14.25" x14ac:dyDescent="0.45"/>
  <cols>
    <col min="1" max="1" width="2.3984375" customWidth="1"/>
    <col min="2" max="2" width="56.86328125" customWidth="1"/>
    <col min="3" max="3" width="24.86328125" customWidth="1"/>
    <col min="4" max="4" width="64" customWidth="1"/>
  </cols>
  <sheetData>
    <row r="2" spans="2:4" ht="44.1" customHeight="1" x14ac:dyDescent="0.45">
      <c r="B2" s="184" t="s">
        <v>836</v>
      </c>
      <c r="C2" s="185"/>
      <c r="D2" s="185"/>
    </row>
    <row r="3" spans="2:4" ht="26.1" customHeight="1" x14ac:dyDescent="0.45">
      <c r="B3" s="250" t="s">
        <v>837</v>
      </c>
      <c r="C3" s="185"/>
      <c r="D3" s="185"/>
    </row>
    <row r="4" spans="2:4" ht="15.75" customHeight="1" x14ac:dyDescent="0.5">
      <c r="B4" s="3"/>
      <c r="C4" s="3"/>
      <c r="D4" s="3"/>
    </row>
    <row r="5" spans="2:4" ht="24" customHeight="1" x14ac:dyDescent="0.45">
      <c r="B5" s="85" t="s">
        <v>838</v>
      </c>
      <c r="C5" s="77" t="s">
        <v>839</v>
      </c>
      <c r="D5" s="86" t="s">
        <v>840</v>
      </c>
    </row>
    <row r="6" spans="2:4" ht="28.15" customHeight="1" x14ac:dyDescent="0.45">
      <c r="B6" s="242" t="s">
        <v>841</v>
      </c>
      <c r="C6" s="185"/>
      <c r="D6" s="185"/>
    </row>
    <row r="7" spans="2:4" ht="24" customHeight="1" x14ac:dyDescent="0.45">
      <c r="B7" s="47" t="s">
        <v>842</v>
      </c>
      <c r="C7" s="75">
        <f>'⚙️ Assumptions'!C56</f>
        <v>4.4499999999999998E-2</v>
      </c>
      <c r="D7" s="48"/>
    </row>
    <row r="8" spans="2:4" ht="24" customHeight="1" x14ac:dyDescent="0.45">
      <c r="B8" s="45" t="s">
        <v>843</v>
      </c>
      <c r="C8" s="72">
        <v>2.3E-2</v>
      </c>
      <c r="D8" s="46"/>
    </row>
    <row r="9" spans="2:4" ht="24" customHeight="1" x14ac:dyDescent="0.45">
      <c r="B9" s="58" t="s">
        <v>844</v>
      </c>
      <c r="C9" s="75">
        <f>C7-C8</f>
        <v>2.1499999999999998E-2</v>
      </c>
      <c r="D9" s="48"/>
    </row>
    <row r="10" spans="2:4" ht="24" customHeight="1" x14ac:dyDescent="0.45">
      <c r="B10" s="45" t="s">
        <v>845</v>
      </c>
      <c r="C10" s="72">
        <v>0</v>
      </c>
      <c r="D10" s="49" t="s">
        <v>846</v>
      </c>
    </row>
    <row r="11" spans="2:4" ht="15.75" customHeight="1" x14ac:dyDescent="0.5">
      <c r="B11" s="3"/>
      <c r="C11" s="3"/>
      <c r="D11" s="3"/>
    </row>
    <row r="12" spans="2:4" ht="28.15" customHeight="1" x14ac:dyDescent="0.45">
      <c r="B12" s="242" t="s">
        <v>847</v>
      </c>
      <c r="C12" s="185"/>
      <c r="D12" s="185"/>
    </row>
    <row r="13" spans="2:4" ht="24" customHeight="1" x14ac:dyDescent="0.45">
      <c r="B13" s="47" t="s">
        <v>848</v>
      </c>
      <c r="C13" s="75">
        <f>'⚙️ Assumptions'!C57</f>
        <v>4.2299999999999997E-2</v>
      </c>
      <c r="D13" s="48"/>
    </row>
    <row r="14" spans="2:4" ht="24" customHeight="1" x14ac:dyDescent="0.45">
      <c r="B14" s="45" t="s">
        <v>849</v>
      </c>
      <c r="C14" s="72">
        <v>5.7000000000000002E-2</v>
      </c>
      <c r="D14" s="46"/>
    </row>
    <row r="15" spans="2:4" ht="24" customHeight="1" x14ac:dyDescent="0.45">
      <c r="B15" s="87" t="s">
        <v>850</v>
      </c>
      <c r="C15" s="75">
        <f>C13</f>
        <v>4.2299999999999997E-2</v>
      </c>
      <c r="D15" s="48"/>
    </row>
    <row r="16" spans="2:4" ht="15.75" customHeight="1" x14ac:dyDescent="0.5">
      <c r="B16" s="3"/>
      <c r="C16" s="3"/>
      <c r="D16" s="3"/>
    </row>
    <row r="17" spans="2:4" ht="28.15" customHeight="1" x14ac:dyDescent="0.45">
      <c r="B17" s="242" t="s">
        <v>851</v>
      </c>
      <c r="C17" s="185"/>
      <c r="D17" s="185"/>
    </row>
    <row r="18" spans="2:4" ht="24" customHeight="1" x14ac:dyDescent="0.45">
      <c r="B18" s="45" t="s">
        <v>852</v>
      </c>
      <c r="C18" s="74">
        <v>1.46</v>
      </c>
      <c r="D18" s="46"/>
    </row>
    <row r="19" spans="2:4" ht="24" customHeight="1" x14ac:dyDescent="0.45">
      <c r="B19" s="47" t="s">
        <v>853</v>
      </c>
      <c r="C19" s="88">
        <f>0.67*C18+0.33</f>
        <v>1.3082</v>
      </c>
      <c r="D19" s="48"/>
    </row>
    <row r="20" spans="2:4" ht="24" customHeight="1" x14ac:dyDescent="0.45">
      <c r="B20" s="45" t="s">
        <v>854</v>
      </c>
      <c r="C20" s="74">
        <v>1.05</v>
      </c>
      <c r="D20" s="46"/>
    </row>
    <row r="21" spans="2:4" ht="24" customHeight="1" x14ac:dyDescent="0.45">
      <c r="B21" s="58" t="s">
        <v>855</v>
      </c>
      <c r="C21" s="88">
        <f>'⚙️ Assumptions'!C65/'⚙️ Assumptions'!C64</f>
        <v>3.0927835051546421E-2</v>
      </c>
      <c r="D21" s="48"/>
    </row>
    <row r="22" spans="2:4" ht="24" customHeight="1" x14ac:dyDescent="0.45">
      <c r="B22" s="45" t="s">
        <v>856</v>
      </c>
      <c r="C22" s="89">
        <f>C20*(1+(1-'⚙️ Assumptions'!C43)*C21)</f>
        <v>1.0756546391752577</v>
      </c>
      <c r="D22" s="46"/>
    </row>
    <row r="23" spans="2:4" ht="24" customHeight="1" x14ac:dyDescent="0.45">
      <c r="B23" s="87" t="s">
        <v>857</v>
      </c>
      <c r="C23" s="88">
        <f>'⚙️ Assumptions'!C58</f>
        <v>1.3</v>
      </c>
      <c r="D23" s="50" t="s">
        <v>858</v>
      </c>
    </row>
    <row r="24" spans="2:4" ht="15.75" customHeight="1" x14ac:dyDescent="0.5">
      <c r="B24" s="3"/>
      <c r="C24" s="3"/>
      <c r="D24" s="3"/>
    </row>
    <row r="25" spans="2:4" ht="28.15" customHeight="1" x14ac:dyDescent="0.45">
      <c r="B25" s="242" t="s">
        <v>859</v>
      </c>
      <c r="C25" s="185"/>
      <c r="D25" s="185"/>
    </row>
    <row r="26" spans="2:4" ht="24" customHeight="1" x14ac:dyDescent="0.45">
      <c r="B26" s="45" t="s">
        <v>410</v>
      </c>
      <c r="C26" s="76">
        <f>C7</f>
        <v>4.4499999999999998E-2</v>
      </c>
      <c r="D26" s="46"/>
    </row>
    <row r="27" spans="2:4" ht="24" customHeight="1" x14ac:dyDescent="0.45">
      <c r="B27" s="47" t="s">
        <v>860</v>
      </c>
      <c r="C27" s="75">
        <f>C23*C15</f>
        <v>5.4989999999999997E-2</v>
      </c>
      <c r="D27" s="48"/>
    </row>
    <row r="28" spans="2:4" ht="24" customHeight="1" x14ac:dyDescent="0.45">
      <c r="B28" s="45" t="s">
        <v>861</v>
      </c>
      <c r="C28" s="76">
        <f>C10</f>
        <v>0</v>
      </c>
      <c r="D28" s="46"/>
    </row>
    <row r="29" spans="2:4" ht="24" customHeight="1" x14ac:dyDescent="0.45">
      <c r="B29" s="47" t="s">
        <v>862</v>
      </c>
      <c r="C29" s="75">
        <f>'⚙️ Assumptions'!C59</f>
        <v>0</v>
      </c>
      <c r="D29" s="48"/>
    </row>
    <row r="30" spans="2:4" ht="24" customHeight="1" x14ac:dyDescent="0.45">
      <c r="B30" s="45" t="s">
        <v>863</v>
      </c>
      <c r="C30" s="76">
        <f>'⚙️ Assumptions'!C60</f>
        <v>0</v>
      </c>
      <c r="D30" s="46"/>
    </row>
    <row r="31" spans="2:4" ht="24" customHeight="1" x14ac:dyDescent="0.45">
      <c r="B31" s="87" t="s">
        <v>864</v>
      </c>
      <c r="C31" s="75">
        <f>SUM(C26:C30)</f>
        <v>9.9489999999999995E-2</v>
      </c>
      <c r="D31" s="48"/>
    </row>
    <row r="32" spans="2:4" ht="15.75" customHeight="1" x14ac:dyDescent="0.5">
      <c r="B32" s="3"/>
      <c r="C32" s="3"/>
      <c r="D32" s="3"/>
    </row>
    <row r="33" spans="2:4" ht="28.15" customHeight="1" x14ac:dyDescent="0.45">
      <c r="B33" s="242" t="s">
        <v>865</v>
      </c>
      <c r="C33" s="185"/>
      <c r="D33" s="185"/>
    </row>
    <row r="34" spans="2:4" ht="24" customHeight="1" x14ac:dyDescent="0.45">
      <c r="B34" s="45" t="s">
        <v>866</v>
      </c>
      <c r="C34" s="76">
        <f>'⚙️ Assumptions'!C62</f>
        <v>4.9000000000000002E-2</v>
      </c>
      <c r="D34" s="46"/>
    </row>
    <row r="35" spans="2:4" ht="24" customHeight="1" x14ac:dyDescent="0.45">
      <c r="B35" s="47" t="s">
        <v>368</v>
      </c>
      <c r="C35" s="75">
        <f>'⚙️ Assumptions'!C43</f>
        <v>0.21</v>
      </c>
      <c r="D35" s="48"/>
    </row>
    <row r="36" spans="2:4" ht="24" customHeight="1" x14ac:dyDescent="0.45">
      <c r="B36" s="90" t="s">
        <v>867</v>
      </c>
      <c r="C36" s="76">
        <f>C34*(1-C35)</f>
        <v>3.8710000000000001E-2</v>
      </c>
      <c r="D36" s="46"/>
    </row>
    <row r="37" spans="2:4" ht="15.75" customHeight="1" x14ac:dyDescent="0.5">
      <c r="B37" s="3"/>
      <c r="C37" s="3"/>
      <c r="D37" s="3"/>
    </row>
    <row r="38" spans="2:4" ht="28.15" customHeight="1" x14ac:dyDescent="0.45">
      <c r="B38" s="242" t="s">
        <v>868</v>
      </c>
      <c r="C38" s="185"/>
      <c r="D38" s="185"/>
    </row>
    <row r="39" spans="2:4" ht="24" customHeight="1" x14ac:dyDescent="0.45">
      <c r="B39" s="47" t="s">
        <v>869</v>
      </c>
      <c r="C39" s="59">
        <f>'⚙️ Assumptions'!C64</f>
        <v>0.97</v>
      </c>
      <c r="D39" s="48"/>
    </row>
    <row r="40" spans="2:4" ht="24" customHeight="1" x14ac:dyDescent="0.45">
      <c r="B40" s="45" t="s">
        <v>870</v>
      </c>
      <c r="C40" s="91">
        <f>'⚙️ Assumptions'!C65</f>
        <v>3.0000000000000027E-2</v>
      </c>
      <c r="D40" s="46"/>
    </row>
    <row r="41" spans="2:4" ht="15.75" customHeight="1" x14ac:dyDescent="0.5">
      <c r="B41" s="3"/>
      <c r="C41" s="3"/>
      <c r="D41" s="3"/>
    </row>
    <row r="42" spans="2:4" ht="28.15" customHeight="1" x14ac:dyDescent="0.45">
      <c r="B42" s="242" t="s">
        <v>871</v>
      </c>
      <c r="C42" s="185"/>
      <c r="D42" s="185"/>
    </row>
    <row r="43" spans="2:4" ht="24" customHeight="1" x14ac:dyDescent="0.45">
      <c r="B43" s="47" t="s">
        <v>872</v>
      </c>
      <c r="C43" s="75">
        <f>C31*C39</f>
        <v>9.6505299999999988E-2</v>
      </c>
      <c r="D43" s="48"/>
    </row>
    <row r="44" spans="2:4" ht="24" customHeight="1" x14ac:dyDescent="0.45">
      <c r="B44" s="45" t="s">
        <v>873</v>
      </c>
      <c r="C44" s="76">
        <f>C36*C40</f>
        <v>1.1613000000000012E-3</v>
      </c>
      <c r="D44" s="46"/>
    </row>
    <row r="45" spans="2:4" ht="24" customHeight="1" x14ac:dyDescent="0.45">
      <c r="B45" s="93" t="s">
        <v>874</v>
      </c>
      <c r="C45" s="94">
        <f>C43+C44</f>
        <v>9.7666599999999992E-2</v>
      </c>
      <c r="D45" s="48"/>
    </row>
    <row r="46" spans="2:4" ht="15.75" customHeight="1" x14ac:dyDescent="0.5">
      <c r="B46" s="3"/>
      <c r="C46" s="3"/>
      <c r="D46" s="3"/>
    </row>
    <row r="47" spans="2:4" ht="24" customHeight="1" x14ac:dyDescent="0.45">
      <c r="B47" s="58" t="s">
        <v>875</v>
      </c>
      <c r="C47" s="75">
        <f>'⚙️ Assumptions'!C66</f>
        <v>9.7666599999999992E-2</v>
      </c>
      <c r="D47" s="48"/>
    </row>
    <row r="48" spans="2:4" ht="24" customHeight="1" x14ac:dyDescent="0.45">
      <c r="B48" s="92" t="s">
        <v>876</v>
      </c>
      <c r="C48" s="76">
        <f>C45-C47</f>
        <v>0</v>
      </c>
      <c r="D48" s="49" t="s">
        <v>877</v>
      </c>
    </row>
  </sheetData>
  <mergeCells count="9">
    <mergeCell ref="B2:D2"/>
    <mergeCell ref="B33:D33"/>
    <mergeCell ref="B42:D42"/>
    <mergeCell ref="B3:D3"/>
    <mergeCell ref="B17:D17"/>
    <mergeCell ref="B12:D12"/>
    <mergeCell ref="B25:D25"/>
    <mergeCell ref="B6:D6"/>
    <mergeCell ref="B38:D3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sheetPr>
  <dimension ref="B2:F28"/>
  <sheetViews>
    <sheetView showGridLines="0" workbookViewId="0">
      <pane xSplit="1" ySplit="5" topLeftCell="B12" activePane="bottomRight" state="frozen"/>
      <selection pane="topRight"/>
      <selection pane="bottomLeft"/>
      <selection pane="bottomRight" activeCell="E22" sqref="E22"/>
    </sheetView>
  </sheetViews>
  <sheetFormatPr defaultRowHeight="14.25" x14ac:dyDescent="0.45"/>
  <cols>
    <col min="1" max="1" width="2.3984375" customWidth="1"/>
    <col min="2" max="2" width="40.86328125" customWidth="1"/>
    <col min="3" max="5" width="23.1328125" customWidth="1"/>
    <col min="6" max="6" width="39.1328125" customWidth="1"/>
  </cols>
  <sheetData>
    <row r="2" spans="2:6" ht="44.1" customHeight="1" x14ac:dyDescent="0.45">
      <c r="B2" s="184" t="s">
        <v>878</v>
      </c>
      <c r="C2" s="185"/>
      <c r="D2" s="185"/>
      <c r="E2" s="185"/>
      <c r="F2" s="185"/>
    </row>
    <row r="3" spans="2:6" ht="26.1" customHeight="1" x14ac:dyDescent="0.45">
      <c r="B3" s="243" t="s">
        <v>879</v>
      </c>
      <c r="C3" s="185"/>
      <c r="D3" s="185"/>
      <c r="E3" s="185"/>
      <c r="F3" s="185"/>
    </row>
    <row r="4" spans="2:6" ht="15.75" customHeight="1" x14ac:dyDescent="0.5">
      <c r="B4" s="3"/>
      <c r="C4" s="3"/>
      <c r="D4" s="3"/>
      <c r="E4" s="3"/>
      <c r="F4" s="3"/>
    </row>
    <row r="5" spans="2:6" ht="24" customHeight="1" x14ac:dyDescent="0.45">
      <c r="B5" s="85" t="s">
        <v>880</v>
      </c>
      <c r="C5" s="101" t="s">
        <v>881</v>
      </c>
      <c r="D5" s="101" t="s">
        <v>882</v>
      </c>
      <c r="E5" s="101" t="s">
        <v>883</v>
      </c>
      <c r="F5" s="86" t="s">
        <v>884</v>
      </c>
    </row>
    <row r="6" spans="2:6" ht="24" customHeight="1" x14ac:dyDescent="0.45">
      <c r="B6" s="45" t="s">
        <v>885</v>
      </c>
      <c r="C6" s="66">
        <v>16000</v>
      </c>
      <c r="D6" s="72">
        <v>3.15E-2</v>
      </c>
      <c r="E6" s="102">
        <v>2027</v>
      </c>
      <c r="F6" s="49" t="s">
        <v>886</v>
      </c>
    </row>
    <row r="7" spans="2:6" ht="24" customHeight="1" x14ac:dyDescent="0.45">
      <c r="B7" s="47" t="s">
        <v>887</v>
      </c>
      <c r="C7" s="65">
        <v>10000</v>
      </c>
      <c r="D7" s="73">
        <v>1.4999999999999999E-2</v>
      </c>
      <c r="E7" s="103">
        <v>2031</v>
      </c>
      <c r="F7" s="50" t="s">
        <v>888</v>
      </c>
    </row>
    <row r="8" spans="2:6" ht="24" customHeight="1" x14ac:dyDescent="0.45">
      <c r="B8" s="45" t="s">
        <v>889</v>
      </c>
      <c r="C8" s="66">
        <v>18500</v>
      </c>
      <c r="D8" s="72">
        <v>1.6500000000000001E-2</v>
      </c>
      <c r="E8" s="102">
        <v>2041</v>
      </c>
      <c r="F8" s="49" t="s">
        <v>890</v>
      </c>
    </row>
    <row r="9" spans="2:6" ht="24" customHeight="1" x14ac:dyDescent="0.45">
      <c r="B9" s="47" t="s">
        <v>891</v>
      </c>
      <c r="C9" s="65">
        <v>12750</v>
      </c>
      <c r="D9" s="73">
        <v>3.95E-2</v>
      </c>
      <c r="E9" s="103">
        <v>2032</v>
      </c>
      <c r="F9" s="50" t="s">
        <v>892</v>
      </c>
    </row>
    <row r="10" spans="2:6" ht="24" customHeight="1" x14ac:dyDescent="0.45">
      <c r="B10" s="45" t="s">
        <v>893</v>
      </c>
      <c r="C10" s="66">
        <v>13000</v>
      </c>
      <c r="D10" s="72">
        <v>4.8000000000000001E-2</v>
      </c>
      <c r="E10" s="102">
        <v>2035</v>
      </c>
      <c r="F10" s="49" t="s">
        <v>894</v>
      </c>
    </row>
    <row r="11" spans="2:6" ht="24" customHeight="1" x14ac:dyDescent="0.45">
      <c r="B11" s="47" t="s">
        <v>895</v>
      </c>
      <c r="C11" s="65">
        <v>0</v>
      </c>
      <c r="D11" s="73">
        <v>0.04</v>
      </c>
      <c r="E11" s="103">
        <v>2030</v>
      </c>
      <c r="F11" s="50" t="s">
        <v>896</v>
      </c>
    </row>
    <row r="12" spans="2:6" ht="24" customHeight="1" x14ac:dyDescent="0.5">
      <c r="B12" s="90" t="s">
        <v>897</v>
      </c>
      <c r="C12" s="51">
        <f>SUM(C6:C11)</f>
        <v>70250</v>
      </c>
      <c r="D12" s="22"/>
      <c r="E12" s="22"/>
      <c r="F12" s="46"/>
    </row>
    <row r="13" spans="2:6" ht="24" customHeight="1" x14ac:dyDescent="0.5">
      <c r="B13" s="104" t="s">
        <v>898</v>
      </c>
      <c r="C13" s="21"/>
      <c r="D13" s="55">
        <f>IFERROR(SUMPRODUCT(C6:C11,D6:D11)/C12,0)</f>
        <v>2.9706405693950177E-2</v>
      </c>
      <c r="E13" s="21"/>
      <c r="F13" s="50" t="s">
        <v>899</v>
      </c>
    </row>
    <row r="14" spans="2:6" ht="15.75" customHeight="1" x14ac:dyDescent="0.5">
      <c r="B14" s="3"/>
      <c r="C14" s="3"/>
      <c r="D14" s="3"/>
      <c r="E14" s="3"/>
      <c r="F14" s="3"/>
    </row>
    <row r="15" spans="2:6" ht="28.15" customHeight="1" x14ac:dyDescent="0.45">
      <c r="B15" s="242" t="s">
        <v>900</v>
      </c>
      <c r="C15" s="185"/>
      <c r="D15" s="185"/>
      <c r="E15" s="185"/>
      <c r="F15" s="185"/>
    </row>
    <row r="16" spans="2:6" ht="24" customHeight="1" x14ac:dyDescent="0.5">
      <c r="B16" s="105" t="s">
        <v>838</v>
      </c>
      <c r="C16" s="106" t="s">
        <v>901</v>
      </c>
      <c r="D16" s="22"/>
      <c r="E16" s="22"/>
      <c r="F16" s="107" t="s">
        <v>884</v>
      </c>
    </row>
    <row r="17" spans="2:6" ht="24" customHeight="1" x14ac:dyDescent="0.5">
      <c r="B17" s="47" t="s">
        <v>254</v>
      </c>
      <c r="C17" s="68">
        <f>'⚙️ Assumptions'!C19</f>
        <v>10731</v>
      </c>
      <c r="D17" s="21"/>
      <c r="E17" s="21"/>
      <c r="F17" s="48"/>
    </row>
    <row r="18" spans="2:6" ht="24" customHeight="1" x14ac:dyDescent="0.5">
      <c r="B18" s="45" t="s">
        <v>902</v>
      </c>
      <c r="C18" s="67">
        <f>'⚙️ Assumptions'!C20</f>
        <v>222</v>
      </c>
      <c r="D18" s="22"/>
      <c r="E18" s="22"/>
      <c r="F18" s="46"/>
    </row>
    <row r="19" spans="2:6" ht="24" customHeight="1" x14ac:dyDescent="0.5">
      <c r="B19" s="47" t="s">
        <v>903</v>
      </c>
      <c r="C19" s="68">
        <f>-'⚙️ Assumptions'!C21</f>
        <v>0</v>
      </c>
      <c r="D19" s="21"/>
      <c r="E19" s="21"/>
      <c r="F19" s="48"/>
    </row>
    <row r="20" spans="2:6" ht="24" customHeight="1" x14ac:dyDescent="0.5">
      <c r="B20" s="90" t="s">
        <v>904</v>
      </c>
      <c r="C20" s="51">
        <f>C17+C18+C19</f>
        <v>10953</v>
      </c>
      <c r="D20" s="22"/>
      <c r="E20" s="22"/>
      <c r="F20" s="46"/>
    </row>
    <row r="21" spans="2:6" ht="24" customHeight="1" x14ac:dyDescent="0.5">
      <c r="B21" s="58" t="s">
        <v>905</v>
      </c>
      <c r="C21" s="68">
        <f>C20-'⚙️ Assumptions'!C22</f>
        <v>0</v>
      </c>
      <c r="D21" s="21"/>
      <c r="E21" s="21"/>
      <c r="F21" s="48"/>
    </row>
    <row r="22" spans="2:6" ht="15.75" customHeight="1" x14ac:dyDescent="0.5">
      <c r="B22" s="3"/>
      <c r="C22" s="3"/>
      <c r="D22" s="3"/>
      <c r="E22" s="3"/>
      <c r="F22" s="3"/>
    </row>
    <row r="23" spans="2:6" ht="28.15" customHeight="1" x14ac:dyDescent="0.45">
      <c r="B23" s="242" t="s">
        <v>906</v>
      </c>
      <c r="C23" s="185"/>
      <c r="D23" s="185"/>
      <c r="E23" s="185"/>
      <c r="F23" s="185"/>
    </row>
    <row r="24" spans="2:6" ht="24" customHeight="1" x14ac:dyDescent="0.5">
      <c r="B24" s="45" t="s">
        <v>638</v>
      </c>
      <c r="C24" s="67">
        <f>C20*'⚙️ Assumptions'!C16</f>
        <v>2647887.75</v>
      </c>
      <c r="D24" s="22"/>
      <c r="E24" s="22"/>
      <c r="F24" s="46"/>
    </row>
    <row r="25" spans="2:6" ht="24" customHeight="1" x14ac:dyDescent="0.5">
      <c r="B25" s="47" t="s">
        <v>907</v>
      </c>
      <c r="C25" s="68">
        <f>C12-'⚙️ Assumptions'!C77-'⚙️ Assumptions'!C78</f>
        <v>-52779</v>
      </c>
      <c r="D25" s="21"/>
      <c r="E25" s="21"/>
      <c r="F25" s="48"/>
    </row>
    <row r="26" spans="2:6" ht="24" customHeight="1" x14ac:dyDescent="0.5">
      <c r="B26" s="90" t="s">
        <v>908</v>
      </c>
      <c r="C26" s="51">
        <f>C24+C25</f>
        <v>2595108.75</v>
      </c>
      <c r="D26" s="22"/>
      <c r="E26" s="22"/>
      <c r="F26" s="46"/>
    </row>
    <row r="27" spans="2:6" ht="24" customHeight="1" x14ac:dyDescent="0.5">
      <c r="B27" s="58" t="s">
        <v>909</v>
      </c>
      <c r="C27" s="68">
        <f>'🔢 DCF Engine'!C59</f>
        <v>2066527.2598430207</v>
      </c>
      <c r="D27" s="21"/>
      <c r="E27" s="21"/>
      <c r="F27" s="48"/>
    </row>
    <row r="28" spans="2:6" ht="24" customHeight="1" x14ac:dyDescent="0.5">
      <c r="B28" s="90" t="s">
        <v>910</v>
      </c>
      <c r="C28" s="91">
        <f>IFERROR(C26/C27-1,0)</f>
        <v>0.25578249095883288</v>
      </c>
      <c r="D28" s="22"/>
      <c r="E28" s="22"/>
      <c r="F28" s="46"/>
    </row>
  </sheetData>
  <mergeCells count="4">
    <mergeCell ref="B2:F2"/>
    <mergeCell ref="B15:F15"/>
    <mergeCell ref="B23:F23"/>
    <mergeCell ref="B3:F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🧾ReadmeFirst(IMPORTANT)</vt:lpstr>
      <vt:lpstr>📝 Student Checklist-Always Ref</vt:lpstr>
      <vt:lpstr>📊 Dashboard(View Last)</vt:lpstr>
      <vt:lpstr>⚙️ Assumptions</vt:lpstr>
      <vt:lpstr>📈 Historicals</vt:lpstr>
      <vt:lpstr>🔢 DCF Engine</vt:lpstr>
      <vt:lpstr>📉 Sensitivity</vt:lpstr>
      <vt:lpstr>📋 WACC Builder</vt:lpstr>
      <vt:lpstr>🏦 Cap Structure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Ian Y Teh</cp:lastModifiedBy>
  <dcterms:created xsi:type="dcterms:W3CDTF">2026-05-21T22:46:46Z</dcterms:created>
  <dcterms:modified xsi:type="dcterms:W3CDTF">2026-07-02T04:14:32Z</dcterms:modified>
</cp:coreProperties>
</file>