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purdue0-my.sharepoint.com/personal/iteh_purdue_edu/Documents/"/>
    </mc:Choice>
  </mc:AlternateContent>
  <xr:revisionPtr revIDLastSave="66" documentId="8_{90B0062C-4BDB-407B-8865-59D4547E2E47}" xr6:coauthVersionLast="47" xr6:coauthVersionMax="47" xr10:uidLastSave="{AB7E4913-3828-4D73-B2CE-6712B7AE920C}"/>
  <bookViews>
    <workbookView xWindow="-98" yWindow="-98" windowWidth="21795" windowHeight="13695" xr2:uid="{00000000-000D-0000-FFFF-FFFF00000000}"/>
  </bookViews>
  <sheets>
    <sheet name="Comparable Companies" sheetId="1" r:id="rId1"/>
    <sheet name="Implied Valuation" sheetId="2" r:id="rId2"/>
    <sheet name="Notes &amp; Source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2" l="1"/>
  <c r="B32" i="2"/>
  <c r="B31" i="2"/>
  <c r="H27" i="2"/>
  <c r="G27" i="2"/>
  <c r="F27" i="2"/>
  <c r="E27" i="2"/>
  <c r="D27" i="2"/>
  <c r="C27" i="2"/>
  <c r="B27" i="2"/>
  <c r="C16" i="2"/>
  <c r="C15" i="2"/>
  <c r="C14" i="2"/>
  <c r="B10" i="2"/>
  <c r="C17" i="2" s="1"/>
  <c r="B9" i="2"/>
  <c r="B8" i="2"/>
  <c r="B7" i="2"/>
  <c r="B6" i="2"/>
  <c r="B5" i="2"/>
  <c r="Z20" i="1"/>
  <c r="X20" i="1"/>
  <c r="W20" i="1"/>
  <c r="V20" i="1"/>
  <c r="R20" i="1"/>
  <c r="P20" i="1"/>
  <c r="N20" i="1"/>
  <c r="L20" i="1"/>
  <c r="K20" i="1"/>
  <c r="J20" i="1"/>
  <c r="I20" i="1"/>
  <c r="Z19" i="1"/>
  <c r="X19" i="1"/>
  <c r="W19" i="1"/>
  <c r="V19" i="1"/>
  <c r="R19" i="1"/>
  <c r="P19" i="1"/>
  <c r="N19" i="1"/>
  <c r="L19" i="1"/>
  <c r="K19" i="1"/>
  <c r="J19" i="1"/>
  <c r="I19" i="1"/>
  <c r="Z18" i="1"/>
  <c r="X18" i="1"/>
  <c r="W18" i="1"/>
  <c r="V18" i="1"/>
  <c r="R18" i="1"/>
  <c r="Q18" i="1"/>
  <c r="P18" i="1"/>
  <c r="N18" i="1"/>
  <c r="L18" i="1"/>
  <c r="K18" i="1"/>
  <c r="J18" i="1"/>
  <c r="I18" i="1"/>
  <c r="Z17" i="1"/>
  <c r="X17" i="1"/>
  <c r="W17" i="1"/>
  <c r="B17" i="2" s="1"/>
  <c r="F17" i="2" s="1"/>
  <c r="G17" i="2" s="1"/>
  <c r="V17" i="1"/>
  <c r="R17" i="1"/>
  <c r="P17" i="1"/>
  <c r="N17" i="1"/>
  <c r="L17" i="1"/>
  <c r="K17" i="1"/>
  <c r="J17" i="1"/>
  <c r="I17" i="1"/>
  <c r="Z16" i="1"/>
  <c r="X16" i="1"/>
  <c r="W16" i="1"/>
  <c r="V16" i="1"/>
  <c r="R16" i="1"/>
  <c r="P16" i="1"/>
  <c r="N16" i="1"/>
  <c r="L16" i="1"/>
  <c r="K16" i="1"/>
  <c r="J16" i="1"/>
  <c r="I16" i="1"/>
  <c r="Z15" i="1"/>
  <c r="X15" i="1"/>
  <c r="W15" i="1"/>
  <c r="B16" i="2" s="1"/>
  <c r="F16" i="2" s="1"/>
  <c r="G16" i="2" s="1"/>
  <c r="V15" i="1"/>
  <c r="R15" i="1"/>
  <c r="P15" i="1"/>
  <c r="N15" i="1"/>
  <c r="L15" i="1"/>
  <c r="K15" i="1"/>
  <c r="J15" i="1"/>
  <c r="I15" i="1"/>
  <c r="Q13" i="1"/>
  <c r="O13" i="1"/>
  <c r="M13" i="1"/>
  <c r="F13" i="1"/>
  <c r="H13" i="1" s="1"/>
  <c r="Q12" i="1"/>
  <c r="O12" i="1"/>
  <c r="M12" i="1"/>
  <c r="F12" i="1"/>
  <c r="H12" i="1" s="1"/>
  <c r="Q11" i="1"/>
  <c r="O11" i="1"/>
  <c r="O18" i="1" s="1"/>
  <c r="M11" i="1"/>
  <c r="M18" i="1" s="1"/>
  <c r="H11" i="1"/>
  <c r="U11" i="1" s="1"/>
  <c r="F11" i="1"/>
  <c r="Y11" i="1" s="1"/>
  <c r="Q10" i="1"/>
  <c r="O10" i="1"/>
  <c r="M10" i="1"/>
  <c r="M17" i="1" s="1"/>
  <c r="F10" i="1"/>
  <c r="Y10" i="1" s="1"/>
  <c r="Q9" i="1"/>
  <c r="O9" i="1"/>
  <c r="O17" i="1" s="1"/>
  <c r="M9" i="1"/>
  <c r="F9" i="1"/>
  <c r="H9" i="1" s="1"/>
  <c r="Q8" i="1"/>
  <c r="Q17" i="1" s="1"/>
  <c r="O8" i="1"/>
  <c r="M8" i="1"/>
  <c r="F8" i="1"/>
  <c r="H8" i="1" s="1"/>
  <c r="Q7" i="1"/>
  <c r="Q20" i="1" s="1"/>
  <c r="O7" i="1"/>
  <c r="O20" i="1" s="1"/>
  <c r="M7" i="1"/>
  <c r="M19" i="1" s="1"/>
  <c r="F7" i="1"/>
  <c r="H7" i="1" s="1"/>
  <c r="Q6" i="1"/>
  <c r="O6" i="1"/>
  <c r="M6" i="1"/>
  <c r="F6" i="1"/>
  <c r="H6" i="1" s="1"/>
  <c r="S6" i="1" l="1"/>
  <c r="U6" i="1"/>
  <c r="T6" i="1"/>
  <c r="U8" i="1"/>
  <c r="T8" i="1"/>
  <c r="S8" i="1"/>
  <c r="U7" i="1"/>
  <c r="T7" i="1"/>
  <c r="S7" i="1"/>
  <c r="S13" i="1"/>
  <c r="T13" i="1"/>
  <c r="U13" i="1"/>
  <c r="U18" i="1" s="1"/>
  <c r="T12" i="1"/>
  <c r="S12" i="1"/>
  <c r="U12" i="1"/>
  <c r="U9" i="1"/>
  <c r="T9" i="1"/>
  <c r="S9" i="1"/>
  <c r="Y12" i="1"/>
  <c r="Y18" i="1" s="1"/>
  <c r="O15" i="1"/>
  <c r="M16" i="1"/>
  <c r="Y13" i="1"/>
  <c r="Y6" i="1"/>
  <c r="Q15" i="1"/>
  <c r="O16" i="1"/>
  <c r="Y7" i="1"/>
  <c r="Y8" i="1"/>
  <c r="S11" i="1"/>
  <c r="Q16" i="1"/>
  <c r="H10" i="1"/>
  <c r="O19" i="1"/>
  <c r="M20" i="1"/>
  <c r="Q19" i="1"/>
  <c r="Y9" i="1"/>
  <c r="T11" i="1"/>
  <c r="M15" i="1"/>
  <c r="U10" i="1" l="1"/>
  <c r="U15" i="1" s="1"/>
  <c r="T10" i="1"/>
  <c r="S10" i="1"/>
  <c r="S17" i="1" s="1"/>
  <c r="T19" i="1"/>
  <c r="T15" i="1"/>
  <c r="B14" i="2" s="1"/>
  <c r="D14" i="2" s="1"/>
  <c r="E14" i="2" s="1"/>
  <c r="F14" i="2" s="1"/>
  <c r="T17" i="1"/>
  <c r="B15" i="2" s="1"/>
  <c r="D15" i="2" s="1"/>
  <c r="E15" i="2" s="1"/>
  <c r="F15" i="2" s="1"/>
  <c r="G15" i="2" s="1"/>
  <c r="T20" i="1"/>
  <c r="T16" i="1"/>
  <c r="U19" i="1"/>
  <c r="U20" i="1"/>
  <c r="U17" i="1"/>
  <c r="U16" i="1"/>
  <c r="S18" i="1"/>
  <c r="T18" i="1"/>
  <c r="Y20" i="1"/>
  <c r="Y19" i="1"/>
  <c r="Y17" i="1"/>
  <c r="Y16" i="1"/>
  <c r="Y15" i="1"/>
  <c r="S20" i="1"/>
  <c r="S16" i="1"/>
  <c r="S19" i="1"/>
  <c r="S15" i="1"/>
  <c r="F19" i="2" l="1"/>
  <c r="G19" i="2" s="1"/>
  <c r="G14" i="2"/>
  <c r="F18" i="2"/>
  <c r="B30" i="2" l="1"/>
  <c r="G18" i="2"/>
</calcChain>
</file>

<file path=xl/sharedStrings.xml><?xml version="1.0" encoding="utf-8"?>
<sst xmlns="http://schemas.openxmlformats.org/spreadsheetml/2006/main" count="120" uniqueCount="112">
  <si>
    <t>AMAZON.COM, INC. (AMZN)  —  COMPARABLE COMPANY ANALYSIS</t>
  </si>
  <si>
    <t>Trading comparables  ·  TTM financials &amp; current market data  ·  Purdue SMIF</t>
  </si>
  <si>
    <t>Valuation date: June 9, 2026   ·   $ in Billions except per-share   ·   Source: company filings / S&amp;P Global Market Intelligence via StockAnalysis.com</t>
  </si>
  <si>
    <t>Ticker</t>
  </si>
  <si>
    <t>Company</t>
  </si>
  <si>
    <t>Segment Role</t>
  </si>
  <si>
    <t>Price ($)</t>
  </si>
  <si>
    <t>Shares (B)</t>
  </si>
  <si>
    <t>Mkt Cap ($B)</t>
  </si>
  <si>
    <t>Net Debt ($B)</t>
  </si>
  <si>
    <t>EV ($B)</t>
  </si>
  <si>
    <t>Revenue ($B)</t>
  </si>
  <si>
    <t>Rev Gth '25-'28E</t>
  </si>
  <si>
    <t>Gross Mgn</t>
  </si>
  <si>
    <t>EBITDA ($B)</t>
  </si>
  <si>
    <t>EBITDA Mgn</t>
  </si>
  <si>
    <t>EBIT ($B)</t>
  </si>
  <si>
    <t>EBIT Mgn</t>
  </si>
  <si>
    <t>FCF ($B)</t>
  </si>
  <si>
    <t>FCF Mgn</t>
  </si>
  <si>
    <t>ROIC</t>
  </si>
  <si>
    <t>EV/Rev</t>
  </si>
  <si>
    <t>EV/EBITDA</t>
  </si>
  <si>
    <t>EV/EBIT</t>
  </si>
  <si>
    <t>P/E</t>
  </si>
  <si>
    <t>Fwd P/E</t>
  </si>
  <si>
    <t>PEG</t>
  </si>
  <si>
    <t>FCF Yield</t>
  </si>
  <si>
    <t>Beta</t>
  </si>
  <si>
    <t>AMZN</t>
  </si>
  <si>
    <t>Amazon.com</t>
  </si>
  <si>
    <t>Subject</t>
  </si>
  <si>
    <t>MSFT</t>
  </si>
  <si>
    <t>Microsoft</t>
  </si>
  <si>
    <t>Cloud / Platform</t>
  </si>
  <si>
    <t>GOOGL</t>
  </si>
  <si>
    <t>Alphabet</t>
  </si>
  <si>
    <t>META</t>
  </si>
  <si>
    <t>Meta Platforms</t>
  </si>
  <si>
    <t>AAPL</t>
  </si>
  <si>
    <t>Apple</t>
  </si>
  <si>
    <t>WMT</t>
  </si>
  <si>
    <t>Walmart</t>
  </si>
  <si>
    <t>E-Commerce / Retail</t>
  </si>
  <si>
    <t>BABA</t>
  </si>
  <si>
    <t>Alibaba</t>
  </si>
  <si>
    <t>MELI</t>
  </si>
  <si>
    <t>MercadoLibre</t>
  </si>
  <si>
    <t>Peer Median (7)</t>
  </si>
  <si>
    <t>Peer Mean (7)</t>
  </si>
  <si>
    <t xml:space="preserve">  Cloud / Platform Median (4)</t>
  </si>
  <si>
    <t xml:space="preserve">  E-Commerce / Retail Median (3)</t>
  </si>
  <si>
    <t>Peer High</t>
  </si>
  <si>
    <t>Peer Low</t>
  </si>
  <si>
    <t>Growth = consensus 3-yr forward CAGR. EV defined as market cap + net debt (net debt includes capitalized leases per source). AMZN FCF is negative on the FY25-26 capex super-cycle, so EV/EBITDA flatters it and FCF Yield is not meaningful — see Implied Valuation and Notes tabs.</t>
  </si>
  <si>
    <t>AMZN — IMPLIED VALUATION FROM PEER MULTIPLES</t>
  </si>
  <si>
    <t>Apply peer-group median multiples to AMZN TTM metrics  ·  Valuation date June 9, 2026</t>
  </si>
  <si>
    <t>AMZN REFERENCE INPUTS (TTM)</t>
  </si>
  <si>
    <t>Current share price ($)</t>
  </si>
  <si>
    <t>Diluted shares (B)</t>
  </si>
  <si>
    <t>Net debt ($B)</t>
  </si>
  <si>
    <t>TTM EBITDA ($B)</t>
  </si>
  <si>
    <t>TTM revenue ($B)</t>
  </si>
  <si>
    <t>Implied fwd EPS  (price ÷ fwd P/E, $)</t>
  </si>
  <si>
    <t>VALUATION METHOD</t>
  </si>
  <si>
    <t>MULTIPLE</t>
  </si>
  <si>
    <t>METRIC ($B / $)</t>
  </si>
  <si>
    <t>IMPLIED EV ($B)</t>
  </si>
  <si>
    <t>IMPLIED EQUITY ($B)</t>
  </si>
  <si>
    <t>IMPLIED PRICE ($)</t>
  </si>
  <si>
    <t>vs. CURRENT</t>
  </si>
  <si>
    <t>WEIGHT</t>
  </si>
  <si>
    <t>EV / EBITDA — Peer Median (7)</t>
  </si>
  <si>
    <t>EV / EBITDA — Cloud/Platform Median (4)</t>
  </si>
  <si>
    <t>Forward P/E — Peer Median (7)</t>
  </si>
  <si>
    <t>n/m</t>
  </si>
  <si>
    <t>Forward P/E — Cloud/Platform Median (4)</t>
  </si>
  <si>
    <t>Weighted Implied Value / Share</t>
  </si>
  <si>
    <t>Simple Average (4 methods)</t>
  </si>
  <si>
    <t>Memo — EV/Revenue excluded as a valuation anchor</t>
  </si>
  <si>
    <t>AMZN's revenue is ~60% low-margin retail; peer EV/Sales (6.9x–10.5x for the platforms) reflects 35%–58% EBITDA margins versus AMZN's 21%. Applying a peer EV/Sales multiple to AMZN's revenue overstates value by a wide margin and is not comparable. EV/EBITDA normalizes for this and is the primary lens.</t>
  </si>
  <si>
    <t>IMPLIED PRICE vs. EV/EBITDA MULTIPLE</t>
  </si>
  <si>
    <t>EV / EBITDA</t>
  </si>
  <si>
    <t>14.0x</t>
  </si>
  <si>
    <t>16.0x</t>
  </si>
  <si>
    <t>17.5x (AMZN now)</t>
  </si>
  <si>
    <t>20.0x</t>
  </si>
  <si>
    <t>22.4x (peer med)</t>
  </si>
  <si>
    <t>24.0x</t>
  </si>
  <si>
    <t>26.0x</t>
  </si>
  <si>
    <t>Implied $/share</t>
  </si>
  <si>
    <t>CROSS-CHECK vs. DCF (intrinsic value)</t>
  </si>
  <si>
    <t>CCA — weighted implied (relative value)</t>
  </si>
  <si>
    <t>DCF — probability-weighted target</t>
  </si>
  <si>
    <t>DCF — base case</t>
  </si>
  <si>
    <t>Current price</t>
  </si>
  <si>
    <t>The relative-value (CCA) and intrinsic (DCF) lenses disagree by design. EV/EBITDA flatters AMZN because it adds back the depreciation its capex super-cycle is inflating; the DCF charges that capex against free cash flow. The gap IS the thesis — what AWS/AI capex earns.</t>
  </si>
  <si>
    <t>COMPARABLE COMPANY ANALYSIS — NOTES, METHODOLOGY &amp; SOURCES</t>
  </si>
  <si>
    <t>Peer set — why these seven</t>
  </si>
  <si>
    <t>AMZN has no pure comparable; it is a hybrid of cloud infrastructure (AWS), digital advertising, and retail/logistics. We triangulate across its three value drivers with two groups. CLOUD / PLATFORM (Microsoft, Alphabet, Meta, Apple): the relevant read for AWS economics, advertising margins, and mega-cap scale/quality. E-COMMERCE / RETAIL (Walmart, Alibaba, MercadoLibre): the read for the retail/marketplace engine — Walmart for U.S. scale retail, Alibaba for a global commerce + cloud analog, MercadoLibre for high-growth marketplace + fintech.</t>
  </si>
  <si>
    <t>Metric selection — be intentional</t>
  </si>
  <si>
    <t>PRIMARY: EV/EBITDA. It is neutral to capital structure and to the margin-phase differences across this group, and it sits above the D&amp;A line. This is the cleanest single cross-comparable for AMZN. SECONDARY: Forward P/E — AMZN screens right on the peer median, a useful sanity check on earnings power. CONTEXT: PEG and 3-yr growth frame whether the multiple is earned. EXCLUDED as a value anchor: EV/Revenue — margin structures differ too much (AMZN 21% EBITDA margin vs. 35–58% for the platforms), so a peer EV/Sales applied to AMZN's mostly-retail revenue overstates value. FLAGGED: FCF Yield — AMZN's TTM FCF is negative on the capex super-cycle, so the cash-based multiples are not meaningful this year; they are shown to make exactly that point.</t>
  </si>
  <si>
    <t>Key read</t>
  </si>
  <si>
    <t>On forward earnings AMZN trades in line with the mega-cap platform median (~29x). On EV/EBITDA it looks ~20% cheap (17.5x vs. ~22x), but that discount is largely an artifact: EBITDA adds back the depreciation that AMZN's record capex is inflating, while peers (ex-AWS hyperscalers) carry lighter capex. Adjust for capex — via FCF — and the apparent discount disappears (AMZN FCF yield is negative; peers are positive). Net: relative valuation is roughly neutral, and the swing factor is the return on the AI/AWS buildout, the same variable the DCF turns on.</t>
  </si>
  <si>
    <t>Company-specific caveats</t>
  </si>
  <si>
    <t>• AAPL ROIC (~104%) and EV/EBITDA reflect a capital-light, buyback-heavy model — a quality ceiling, not a like-for-like operating comp.  • BABA carries a China/ADR governance discount; its standardized EBITDA is depressed by share-based comp and impairments, so its low headline multiple is not clean.  • MELI's FCF and FCF yield are inflated by fintech deposit float (its OCF includes customer balances); use EV/EBITDA and P/E for MELI, not FCF.  • WMT is a deliberately low-multiple-on-sales, low-margin anchor; its high P/E reflects thin net margins, not richness.</t>
  </si>
  <si>
    <t>Data &amp; definitions</t>
  </si>
  <si>
    <t>Prices and market data as of June 9, 2026 (WMT/MELI last close June 5). Financials are trailing-twelve-month (TTM), normalized across staggered fiscal year-ends. EV = market cap + net debt; net debt per source includes capitalized operating leases, applied consistently across all names. Multiples in the comps table are computed by formula from the raw inputs (EV, EBITDA, EBIT, revenue, FCF); P/E, forward P/E, PEG, and 3-yr growth are consensus figures from the source.</t>
  </si>
  <si>
    <t>Sources</t>
  </si>
  <si>
    <t>Company 10-K / 10-Q filings (SEC EDGAR) and Amazon Q4 2025 / Q1 2026 earnings releases; market data, consensus estimates, and ratios via S&amp;P Global Market Intelligence as displayed on StockAnalysis.com (statistics pages, retrieved June 9–10, 2026).</t>
  </si>
  <si>
    <t>Disclaimer</t>
  </si>
  <si>
    <t>Prepared by the Purdue SMIF for educational purposes. Not investment advice and not a recommendation. Multiples and implied values are estimates that depend on consensus inputs and will change with prices and revisions. Verify against primary filings before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</si>
</sst>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0"/>
    <numFmt numFmtId="167" formatCode="0.0&quot;x&quot;"/>
    <numFmt numFmtId="168" formatCode="\+0.0%;\-0.0%"/>
    <numFmt numFmtId="169" formatCode="\$#,##0"/>
  </numFmts>
  <fonts count="31" x14ac:knownFonts="1">
    <font>
      <sz val="11"/>
      <color theme="1"/>
      <name val="Calibri"/>
      <family val="2"/>
      <scheme val="minor"/>
    </font>
    <font>
      <b/>
      <sz val="10"/>
      <color rgb="FF000000"/>
      <name val="Calibri"/>
      <family val="2"/>
    </font>
    <font>
      <b/>
      <sz val="11"/>
      <color rgb="FF000000"/>
      <name val="Calibri"/>
      <family val="2"/>
    </font>
    <font>
      <sz val="12"/>
      <color theme="1"/>
      <name val="Calibri"/>
      <family val="2"/>
      <scheme val="minor"/>
    </font>
    <font>
      <i/>
      <sz val="12"/>
      <color rgb="FF6F727B"/>
      <name val="Calibri"/>
      <family val="2"/>
    </font>
    <font>
      <b/>
      <sz val="12"/>
      <color rgb="FF000000"/>
      <name val="Calibri"/>
      <family val="2"/>
    </font>
    <font>
      <sz val="12"/>
      <color rgb="FF222222"/>
      <name val="Calibri"/>
      <family val="2"/>
    </font>
    <font>
      <sz val="12"/>
      <color rgb="FF000000"/>
      <name val="Calibri"/>
      <family val="2"/>
    </font>
    <font>
      <i/>
      <sz val="12"/>
      <color rgb="FF000000"/>
      <name val="Calibri"/>
      <family val="2"/>
    </font>
    <font>
      <b/>
      <sz val="16"/>
      <color rgb="FFCEB888"/>
      <name val="Calibri"/>
      <family val="2"/>
    </font>
    <font>
      <sz val="16"/>
      <color theme="1"/>
      <name val="Calibri"/>
      <family val="2"/>
      <scheme val="minor"/>
    </font>
    <font>
      <sz val="10"/>
      <color theme="1"/>
      <name val="Calibri"/>
      <family val="2"/>
      <scheme val="minor"/>
    </font>
    <font>
      <sz val="14"/>
      <color theme="1"/>
      <name val="Calibri"/>
      <family val="2"/>
      <scheme val="minor"/>
    </font>
    <font>
      <b/>
      <sz val="18"/>
      <color rgb="FFCEB888"/>
      <name val="Calibri"/>
      <family val="2"/>
    </font>
    <font>
      <sz val="18"/>
      <color theme="1"/>
      <name val="Calibri"/>
      <family val="2"/>
      <scheme val="minor"/>
    </font>
    <font>
      <b/>
      <sz val="19"/>
      <color rgb="FFCEB888"/>
      <name val="Calibri"/>
      <family val="2"/>
    </font>
    <font>
      <sz val="19"/>
      <color theme="1"/>
      <name val="Calibri"/>
      <family val="2"/>
      <scheme val="minor"/>
    </font>
    <font>
      <sz val="14"/>
      <color rgb="FFFFFFFF"/>
      <name val="Calibri"/>
      <family val="2"/>
    </font>
    <font>
      <i/>
      <sz val="14"/>
      <color rgb="FF6F727B"/>
      <name val="Calibri"/>
      <family val="2"/>
    </font>
    <font>
      <b/>
      <sz val="14"/>
      <color rgb="FFFFFFFF"/>
      <name val="Calibri"/>
      <family val="2"/>
    </font>
    <font>
      <b/>
      <sz val="13"/>
      <color rgb="FF000000"/>
      <name val="Calibri"/>
      <family val="2"/>
    </font>
    <font>
      <b/>
      <sz val="13"/>
      <color rgb="FF222222"/>
      <name val="Calibri"/>
      <family val="2"/>
    </font>
    <font>
      <sz val="13"/>
      <color rgb="FF222222"/>
      <name val="Calibri"/>
      <family val="2"/>
    </font>
    <font>
      <sz val="11"/>
      <color rgb="FFFFFFFF"/>
      <name val="Calibri"/>
      <family val="2"/>
    </font>
    <font>
      <sz val="11"/>
      <color rgb="FF6F727B"/>
      <name val="Calibri"/>
      <family val="2"/>
    </font>
    <font>
      <b/>
      <sz val="10"/>
      <color rgb="FFFFFFFF"/>
      <name val="Calibri"/>
      <family val="2"/>
    </font>
    <font>
      <sz val="11"/>
      <color rgb="FF000000"/>
      <name val="Calibri"/>
      <family val="2"/>
    </font>
    <font>
      <sz val="11"/>
      <color rgb="FF222222"/>
      <name val="Calibri"/>
      <family val="2"/>
    </font>
    <font>
      <i/>
      <sz val="11"/>
      <color rgb="FF6F727B"/>
      <name val="Calibri"/>
      <family val="2"/>
    </font>
    <font>
      <b/>
      <sz val="11"/>
      <color rgb="FF6F727B"/>
      <name val="Calibri"/>
      <family val="2"/>
    </font>
    <font>
      <i/>
      <sz val="10"/>
      <color rgb="FF6F727B"/>
      <name val="Calibri"/>
      <family val="2"/>
    </font>
  </fonts>
  <fills count="7">
    <fill>
      <patternFill patternType="none"/>
    </fill>
    <fill>
      <patternFill patternType="gray125"/>
    </fill>
    <fill>
      <patternFill patternType="solid"/>
    </fill>
    <fill>
      <patternFill patternType="solid">
        <fgColor rgb="FFE8D9A0"/>
      </patternFill>
    </fill>
    <fill>
      <patternFill patternType="solid">
        <fgColor rgb="FFF5F2EC"/>
      </patternFill>
    </fill>
    <fill>
      <patternFill patternType="solid">
        <fgColor rgb="FFEDEDEE"/>
      </patternFill>
    </fill>
    <fill>
      <patternFill patternType="solid">
        <fgColor rgb="FFFFFFFF"/>
      </patternFill>
    </fill>
  </fills>
  <borders count="4">
    <border>
      <left/>
      <right/>
      <top/>
      <bottom/>
      <diagonal/>
    </border>
    <border>
      <left/>
      <right/>
      <top style="thin">
        <color rgb="FFD4D5D8"/>
      </top>
      <bottom style="thin">
        <color rgb="FFD4D5D8"/>
      </bottom>
      <diagonal/>
    </border>
    <border>
      <left/>
      <right/>
      <top style="thin">
        <color rgb="FFD4D5D8"/>
      </top>
      <bottom/>
      <diagonal/>
    </border>
    <border>
      <left/>
      <right/>
      <top/>
      <bottom style="thin">
        <color rgb="FFD4D5D8"/>
      </bottom>
      <diagonal/>
    </border>
  </borders>
  <cellStyleXfs count="1">
    <xf numFmtId="0" fontId="0" fillId="0" borderId="0"/>
  </cellStyleXfs>
  <cellXfs count="115">
    <xf numFmtId="0" fontId="0" fillId="0" borderId="0" xfId="0"/>
    <xf numFmtId="0" fontId="3" fillId="0" borderId="0" xfId="0" applyFont="1"/>
    <xf numFmtId="0" fontId="3" fillId="0" borderId="0" xfId="0" applyFont="1"/>
    <xf numFmtId="0" fontId="5" fillId="4" borderId="3" xfId="0" applyFont="1" applyFill="1" applyBorder="1" applyAlignment="1">
      <alignment horizontal="left" vertical="center"/>
    </xf>
    <xf numFmtId="0" fontId="6" fillId="4" borderId="3" xfId="0" applyFont="1" applyFill="1" applyBorder="1" applyAlignment="1">
      <alignment horizontal="left" vertical="center"/>
    </xf>
    <xf numFmtId="164" fontId="6" fillId="4" borderId="3" xfId="0" applyNumberFormat="1" applyFont="1" applyFill="1" applyBorder="1" applyAlignment="1">
      <alignment horizontal="center" vertical="center"/>
    </xf>
    <xf numFmtId="2" fontId="6" fillId="4" borderId="3" xfId="0" applyNumberFormat="1" applyFont="1" applyFill="1" applyBorder="1" applyAlignment="1">
      <alignment horizontal="center" vertical="center"/>
    </xf>
    <xf numFmtId="3" fontId="6" fillId="4" borderId="3" xfId="0" applyNumberFormat="1" applyFont="1" applyFill="1" applyBorder="1" applyAlignment="1">
      <alignment horizontal="center" vertical="center"/>
    </xf>
    <xf numFmtId="165" fontId="6" fillId="4" borderId="3" xfId="0" applyNumberFormat="1" applyFont="1" applyFill="1" applyBorder="1" applyAlignment="1">
      <alignment horizontal="center" vertical="center"/>
    </xf>
    <xf numFmtId="166" fontId="6" fillId="4" borderId="3" xfId="0" applyNumberFormat="1" applyFont="1" applyFill="1" applyBorder="1" applyAlignment="1">
      <alignment horizontal="center" vertical="center"/>
    </xf>
    <xf numFmtId="167" fontId="6" fillId="4" borderId="3" xfId="0" applyNumberFormat="1" applyFont="1" applyFill="1" applyBorder="1" applyAlignment="1">
      <alignment horizontal="center" vertical="center"/>
    </xf>
    <xf numFmtId="0" fontId="3" fillId="3" borderId="2" xfId="0" applyFont="1" applyFill="1" applyBorder="1" applyAlignment="1">
      <alignment horizontal="left" vertical="center"/>
    </xf>
    <xf numFmtId="0" fontId="5" fillId="3" borderId="2" xfId="0" applyFont="1" applyFill="1" applyBorder="1" applyAlignment="1">
      <alignment horizontal="left" vertical="center"/>
    </xf>
    <xf numFmtId="164" fontId="3" fillId="3" borderId="2" xfId="0" applyNumberFormat="1" applyFont="1" applyFill="1" applyBorder="1" applyAlignment="1">
      <alignment horizontal="center" vertical="center"/>
    </xf>
    <xf numFmtId="2" fontId="3" fillId="3" borderId="2" xfId="0" applyNumberFormat="1" applyFont="1" applyFill="1" applyBorder="1" applyAlignment="1">
      <alignment horizontal="center" vertical="center"/>
    </xf>
    <xf numFmtId="3" fontId="3" fillId="3" borderId="2" xfId="0" applyNumberFormat="1" applyFont="1" applyFill="1" applyBorder="1" applyAlignment="1">
      <alignment horizontal="center" vertical="center"/>
    </xf>
    <xf numFmtId="165" fontId="3" fillId="3" borderId="2" xfId="0" applyNumberFormat="1" applyFont="1" applyFill="1" applyBorder="1" applyAlignment="1">
      <alignment horizontal="center" vertical="center"/>
    </xf>
    <xf numFmtId="166" fontId="3" fillId="3" borderId="2" xfId="0" applyNumberFormat="1" applyFont="1" applyFill="1" applyBorder="1" applyAlignment="1">
      <alignment horizontal="center" vertical="center"/>
    </xf>
    <xf numFmtId="167" fontId="3" fillId="3" borderId="2" xfId="0" applyNumberFormat="1" applyFont="1" applyFill="1" applyBorder="1" applyAlignment="1">
      <alignment horizontal="center" vertical="center"/>
    </xf>
    <xf numFmtId="0" fontId="3" fillId="4" borderId="2" xfId="0" applyFont="1" applyFill="1" applyBorder="1" applyAlignment="1">
      <alignment horizontal="left" vertical="center"/>
    </xf>
    <xf numFmtId="0" fontId="7" fillId="4" borderId="2" xfId="0" applyFont="1" applyFill="1" applyBorder="1" applyAlignment="1">
      <alignment horizontal="left" vertical="center"/>
    </xf>
    <xf numFmtId="164" fontId="3" fillId="4" borderId="2" xfId="0" applyNumberFormat="1" applyFont="1" applyFill="1" applyBorder="1" applyAlignment="1">
      <alignment horizontal="center" vertical="center"/>
    </xf>
    <xf numFmtId="2" fontId="3" fillId="4" borderId="2" xfId="0" applyNumberFormat="1" applyFont="1" applyFill="1" applyBorder="1" applyAlignment="1">
      <alignment horizontal="center" vertical="center"/>
    </xf>
    <xf numFmtId="3" fontId="3" fillId="4" borderId="2" xfId="0" applyNumberFormat="1" applyFont="1" applyFill="1" applyBorder="1" applyAlignment="1">
      <alignment horizontal="center" vertical="center"/>
    </xf>
    <xf numFmtId="165" fontId="3" fillId="4" borderId="2" xfId="0" applyNumberFormat="1" applyFont="1" applyFill="1" applyBorder="1" applyAlignment="1">
      <alignment horizontal="center" vertical="center"/>
    </xf>
    <xf numFmtId="166" fontId="3" fillId="4" borderId="2" xfId="0" applyNumberFormat="1" applyFont="1" applyFill="1" applyBorder="1" applyAlignment="1">
      <alignment horizontal="center" vertical="center"/>
    </xf>
    <xf numFmtId="167" fontId="3" fillId="4" borderId="2" xfId="0" applyNumberFormat="1" applyFont="1" applyFill="1" applyBorder="1" applyAlignment="1">
      <alignment horizontal="center" vertical="center"/>
    </xf>
    <xf numFmtId="0" fontId="8" fillId="4" borderId="2" xfId="0" applyFont="1" applyFill="1" applyBorder="1" applyAlignment="1">
      <alignment horizontal="left" vertical="center"/>
    </xf>
    <xf numFmtId="0" fontId="3" fillId="5" borderId="2" xfId="0" applyFont="1" applyFill="1" applyBorder="1" applyAlignment="1">
      <alignment horizontal="left" vertical="center"/>
    </xf>
    <xf numFmtId="0" fontId="7" fillId="5" borderId="2" xfId="0" applyFont="1" applyFill="1" applyBorder="1" applyAlignment="1">
      <alignment horizontal="left" vertical="center"/>
    </xf>
    <xf numFmtId="164" fontId="3" fillId="5" borderId="2" xfId="0" applyNumberFormat="1" applyFont="1" applyFill="1" applyBorder="1" applyAlignment="1">
      <alignment horizontal="center" vertical="center"/>
    </xf>
    <xf numFmtId="2" fontId="3" fillId="5" borderId="2" xfId="0" applyNumberFormat="1" applyFont="1" applyFill="1" applyBorder="1" applyAlignment="1">
      <alignment horizontal="center" vertical="center"/>
    </xf>
    <xf numFmtId="3" fontId="3" fillId="5" borderId="2" xfId="0" applyNumberFormat="1" applyFont="1" applyFill="1" applyBorder="1" applyAlignment="1">
      <alignment horizontal="center" vertical="center"/>
    </xf>
    <xf numFmtId="165" fontId="3" fillId="5" borderId="2" xfId="0" applyNumberFormat="1" applyFont="1" applyFill="1" applyBorder="1" applyAlignment="1">
      <alignment horizontal="center" vertical="center"/>
    </xf>
    <xf numFmtId="166" fontId="3" fillId="5" borderId="2" xfId="0" applyNumberFormat="1" applyFont="1" applyFill="1" applyBorder="1" applyAlignment="1">
      <alignment horizontal="center" vertical="center"/>
    </xf>
    <xf numFmtId="167" fontId="3" fillId="5" borderId="2" xfId="0" applyNumberFormat="1" applyFont="1" applyFill="1" applyBorder="1" applyAlignment="1">
      <alignment horizontal="center" vertical="center"/>
    </xf>
    <xf numFmtId="0" fontId="4" fillId="0" borderId="0" xfId="0" applyFont="1" applyAlignment="1">
      <alignment horizontal="left" vertical="top" wrapText="1"/>
    </xf>
    <xf numFmtId="0" fontId="9" fillId="2" borderId="0" xfId="0" applyFont="1" applyFill="1" applyAlignment="1">
      <alignment horizontal="left" vertical="center"/>
    </xf>
    <xf numFmtId="0" fontId="10" fillId="0" borderId="0" xfId="0" applyFont="1"/>
    <xf numFmtId="0" fontId="11" fillId="0" borderId="0" xfId="0" applyFont="1"/>
    <xf numFmtId="0" fontId="12" fillId="0" borderId="0" xfId="0" applyFont="1"/>
    <xf numFmtId="0" fontId="13" fillId="2" borderId="0" xfId="0" applyFont="1" applyFill="1" applyAlignment="1">
      <alignment horizontal="left" vertical="center"/>
    </xf>
    <xf numFmtId="0" fontId="14" fillId="0" borderId="0" xfId="0" applyFont="1"/>
    <xf numFmtId="0" fontId="15" fillId="2" borderId="0" xfId="0" applyFont="1" applyFill="1" applyAlignment="1">
      <alignment horizontal="left" vertical="center"/>
    </xf>
    <xf numFmtId="0" fontId="16" fillId="0" borderId="0" xfId="0" applyFont="1"/>
    <xf numFmtId="0" fontId="17" fillId="2" borderId="0" xfId="0" applyFont="1" applyFill="1" applyAlignment="1">
      <alignment horizontal="left" vertical="center"/>
    </xf>
    <xf numFmtId="0" fontId="18" fillId="0" borderId="0" xfId="0" applyFont="1" applyAlignment="1">
      <alignment horizontal="left" vertical="center"/>
    </xf>
    <xf numFmtId="0" fontId="19" fillId="2" borderId="1" xfId="0" applyFont="1" applyFill="1" applyBorder="1" applyAlignment="1">
      <alignment horizontal="center" vertical="center" wrapText="1"/>
    </xf>
    <xf numFmtId="0" fontId="20" fillId="3" borderId="3" xfId="0" applyFont="1" applyFill="1" applyBorder="1" applyAlignment="1">
      <alignment horizontal="left" vertical="center"/>
    </xf>
    <xf numFmtId="0" fontId="21" fillId="3" borderId="3" xfId="0" applyFont="1" applyFill="1" applyBorder="1" applyAlignment="1">
      <alignment horizontal="left" vertical="center"/>
    </xf>
    <xf numFmtId="164" fontId="20" fillId="3" borderId="3" xfId="0" applyNumberFormat="1" applyFont="1" applyFill="1" applyBorder="1" applyAlignment="1">
      <alignment horizontal="center" vertical="center"/>
    </xf>
    <xf numFmtId="2" fontId="20" fillId="3" borderId="3" xfId="0" applyNumberFormat="1" applyFont="1" applyFill="1" applyBorder="1" applyAlignment="1">
      <alignment horizontal="center" vertical="center"/>
    </xf>
    <xf numFmtId="3" fontId="20" fillId="3" borderId="3" xfId="0" applyNumberFormat="1" applyFont="1" applyFill="1" applyBorder="1" applyAlignment="1">
      <alignment horizontal="center" vertical="center"/>
    </xf>
    <xf numFmtId="165" fontId="20" fillId="3" borderId="3" xfId="0" applyNumberFormat="1" applyFont="1" applyFill="1" applyBorder="1" applyAlignment="1">
      <alignment horizontal="center" vertical="center"/>
    </xf>
    <xf numFmtId="166" fontId="20" fillId="3" borderId="3" xfId="0" applyNumberFormat="1" applyFont="1" applyFill="1" applyBorder="1" applyAlignment="1">
      <alignment horizontal="center" vertical="center"/>
    </xf>
    <xf numFmtId="167" fontId="20" fillId="3" borderId="3" xfId="0" applyNumberFormat="1" applyFont="1" applyFill="1" applyBorder="1" applyAlignment="1">
      <alignment horizontal="center" vertical="center"/>
    </xf>
    <xf numFmtId="0" fontId="20" fillId="6" borderId="3" xfId="0" applyFont="1" applyFill="1" applyBorder="1" applyAlignment="1">
      <alignment horizontal="left" vertical="center"/>
    </xf>
    <xf numFmtId="0" fontId="22" fillId="6" borderId="3" xfId="0" applyFont="1" applyFill="1" applyBorder="1" applyAlignment="1">
      <alignment horizontal="left" vertical="center"/>
    </xf>
    <xf numFmtId="164" fontId="22" fillId="6" borderId="3" xfId="0" applyNumberFormat="1" applyFont="1" applyFill="1" applyBorder="1" applyAlignment="1">
      <alignment horizontal="center" vertical="center"/>
    </xf>
    <xf numFmtId="2" fontId="22" fillId="6" borderId="3" xfId="0" applyNumberFormat="1" applyFont="1" applyFill="1" applyBorder="1" applyAlignment="1">
      <alignment horizontal="center" vertical="center"/>
    </xf>
    <xf numFmtId="3" fontId="22" fillId="6" borderId="3" xfId="0" applyNumberFormat="1" applyFont="1" applyFill="1" applyBorder="1" applyAlignment="1">
      <alignment horizontal="center" vertical="center"/>
    </xf>
    <xf numFmtId="165" fontId="22" fillId="6" borderId="3" xfId="0" applyNumberFormat="1" applyFont="1" applyFill="1" applyBorder="1" applyAlignment="1">
      <alignment horizontal="center" vertical="center"/>
    </xf>
    <xf numFmtId="166" fontId="22" fillId="6" borderId="3" xfId="0" applyNumberFormat="1" applyFont="1" applyFill="1" applyBorder="1" applyAlignment="1">
      <alignment horizontal="center" vertical="center"/>
    </xf>
    <xf numFmtId="167" fontId="22" fillId="6" borderId="3" xfId="0" applyNumberFormat="1" applyFont="1" applyFill="1" applyBorder="1" applyAlignment="1">
      <alignment horizontal="center" vertical="center"/>
    </xf>
    <xf numFmtId="0" fontId="20" fillId="4" borderId="3" xfId="0" applyFont="1" applyFill="1" applyBorder="1" applyAlignment="1">
      <alignment horizontal="left" vertical="center"/>
    </xf>
    <xf numFmtId="0" fontId="22" fillId="4" borderId="3" xfId="0" applyFont="1" applyFill="1" applyBorder="1" applyAlignment="1">
      <alignment horizontal="left" vertical="center"/>
    </xf>
    <xf numFmtId="164" fontId="22" fillId="4" borderId="3" xfId="0" applyNumberFormat="1" applyFont="1" applyFill="1" applyBorder="1" applyAlignment="1">
      <alignment horizontal="center" vertical="center"/>
    </xf>
    <xf numFmtId="2" fontId="22" fillId="4" borderId="3" xfId="0" applyNumberFormat="1" applyFont="1" applyFill="1" applyBorder="1" applyAlignment="1">
      <alignment horizontal="center" vertical="center"/>
    </xf>
    <xf numFmtId="3" fontId="22" fillId="4" borderId="3" xfId="0" applyNumberFormat="1" applyFont="1" applyFill="1" applyBorder="1" applyAlignment="1">
      <alignment horizontal="center" vertical="center"/>
    </xf>
    <xf numFmtId="165" fontId="22" fillId="4" borderId="3" xfId="0" applyNumberFormat="1" applyFont="1" applyFill="1" applyBorder="1" applyAlignment="1">
      <alignment horizontal="center" vertical="center"/>
    </xf>
    <xf numFmtId="166" fontId="22" fillId="4" borderId="3" xfId="0" applyNumberFormat="1" applyFont="1" applyFill="1" applyBorder="1" applyAlignment="1">
      <alignment horizontal="center" vertical="center"/>
    </xf>
    <xf numFmtId="167" fontId="22" fillId="4" borderId="3" xfId="0" applyNumberFormat="1" applyFont="1" applyFill="1" applyBorder="1" applyAlignment="1">
      <alignment horizontal="center" vertical="center"/>
    </xf>
    <xf numFmtId="0" fontId="23" fillId="2" borderId="0" xfId="0" applyFont="1" applyFill="1" applyAlignment="1">
      <alignment horizontal="left" vertical="center"/>
    </xf>
    <xf numFmtId="0" fontId="0" fillId="0" borderId="0" xfId="0" applyFont="1"/>
    <xf numFmtId="0" fontId="5" fillId="0" borderId="0" xfId="0" applyFont="1"/>
    <xf numFmtId="0" fontId="24" fillId="0" borderId="0" xfId="0" applyFont="1" applyAlignment="1">
      <alignment horizontal="left" vertical="center"/>
    </xf>
    <xf numFmtId="164" fontId="2" fillId="4" borderId="0" xfId="0" applyNumberFormat="1" applyFont="1" applyFill="1" applyAlignment="1">
      <alignment horizontal="right" vertical="center"/>
    </xf>
    <xf numFmtId="2" fontId="2" fillId="4" borderId="0" xfId="0" applyNumberFormat="1" applyFont="1" applyFill="1" applyAlignment="1">
      <alignment horizontal="right" vertical="center"/>
    </xf>
    <xf numFmtId="166" fontId="2" fillId="4" borderId="0" xfId="0" applyNumberFormat="1" applyFont="1" applyFill="1" applyAlignment="1">
      <alignment horizontal="right" vertical="center"/>
    </xf>
    <xf numFmtId="0" fontId="25" fillId="2" borderId="1" xfId="0" applyFont="1" applyFill="1" applyBorder="1" applyAlignment="1">
      <alignment horizontal="center" vertical="center" wrapText="1"/>
    </xf>
    <xf numFmtId="0" fontId="26" fillId="6" borderId="3" xfId="0" applyFont="1" applyFill="1" applyBorder="1" applyAlignment="1">
      <alignment horizontal="left" vertical="center"/>
    </xf>
    <xf numFmtId="167" fontId="2" fillId="6" borderId="3" xfId="0" applyNumberFormat="1" applyFont="1" applyFill="1" applyBorder="1" applyAlignment="1">
      <alignment horizontal="center" vertical="center"/>
    </xf>
    <xf numFmtId="166" fontId="27" fillId="6" borderId="3" xfId="0" applyNumberFormat="1" applyFont="1" applyFill="1" applyBorder="1" applyAlignment="1">
      <alignment horizontal="center" vertical="center"/>
    </xf>
    <xf numFmtId="3" fontId="27" fillId="6" borderId="3" xfId="0" applyNumberFormat="1" applyFont="1" applyFill="1" applyBorder="1" applyAlignment="1">
      <alignment horizontal="center" vertical="center"/>
    </xf>
    <xf numFmtId="164" fontId="2" fillId="6" borderId="3" xfId="0" applyNumberFormat="1" applyFont="1" applyFill="1" applyBorder="1" applyAlignment="1">
      <alignment horizontal="center" vertical="center"/>
    </xf>
    <xf numFmtId="168" fontId="2" fillId="6" borderId="3" xfId="0" applyNumberFormat="1" applyFont="1" applyFill="1" applyBorder="1" applyAlignment="1">
      <alignment horizontal="center" vertical="center"/>
    </xf>
    <xf numFmtId="9" fontId="24" fillId="6" borderId="3" xfId="0" applyNumberFormat="1" applyFont="1" applyFill="1" applyBorder="1" applyAlignment="1">
      <alignment horizontal="center" vertical="center"/>
    </xf>
    <xf numFmtId="0" fontId="26" fillId="4" borderId="3" xfId="0" applyFont="1" applyFill="1" applyBorder="1" applyAlignment="1">
      <alignment horizontal="left" vertical="center"/>
    </xf>
    <xf numFmtId="167" fontId="2" fillId="4" borderId="3" xfId="0" applyNumberFormat="1" applyFont="1" applyFill="1" applyBorder="1" applyAlignment="1">
      <alignment horizontal="center" vertical="center"/>
    </xf>
    <xf numFmtId="166" fontId="27" fillId="4" borderId="3" xfId="0" applyNumberFormat="1" applyFont="1" applyFill="1" applyBorder="1" applyAlignment="1">
      <alignment horizontal="center" vertical="center"/>
    </xf>
    <xf numFmtId="3" fontId="27" fillId="4" borderId="3" xfId="0" applyNumberFormat="1" applyFont="1" applyFill="1" applyBorder="1" applyAlignment="1">
      <alignment horizontal="center" vertical="center"/>
    </xf>
    <xf numFmtId="164" fontId="2" fillId="4" borderId="3" xfId="0" applyNumberFormat="1" applyFont="1" applyFill="1" applyBorder="1" applyAlignment="1">
      <alignment horizontal="center" vertical="center"/>
    </xf>
    <xf numFmtId="168" fontId="2" fillId="4" borderId="3" xfId="0" applyNumberFormat="1" applyFont="1" applyFill="1" applyBorder="1" applyAlignment="1">
      <alignment horizontal="center" vertical="center"/>
    </xf>
    <xf numFmtId="9" fontId="24" fillId="4" borderId="3" xfId="0" applyNumberFormat="1" applyFont="1" applyFill="1" applyBorder="1" applyAlignment="1">
      <alignment horizontal="center" vertical="center"/>
    </xf>
    <xf numFmtId="164" fontId="27" fillId="6" borderId="3" xfId="0" applyNumberFormat="1" applyFont="1" applyFill="1" applyBorder="1" applyAlignment="1">
      <alignment horizontal="center" vertical="center"/>
    </xf>
    <xf numFmtId="0" fontId="27" fillId="6" borderId="3" xfId="0" applyFont="1" applyFill="1" applyBorder="1" applyAlignment="1">
      <alignment horizontal="center" vertical="center"/>
    </xf>
    <xf numFmtId="164" fontId="27" fillId="4" borderId="3" xfId="0" applyNumberFormat="1" applyFont="1" applyFill="1" applyBorder="1" applyAlignment="1">
      <alignment horizontal="center" vertical="center"/>
    </xf>
    <xf numFmtId="0" fontId="27" fillId="4" borderId="3" xfId="0" applyFont="1" applyFill="1" applyBorder="1" applyAlignment="1">
      <alignment horizontal="center" vertical="center"/>
    </xf>
    <xf numFmtId="0" fontId="5" fillId="3" borderId="1" xfId="0" applyFont="1" applyFill="1" applyBorder="1" applyAlignment="1">
      <alignment horizontal="left" vertical="center"/>
    </xf>
    <xf numFmtId="0" fontId="3" fillId="3" borderId="1" xfId="0" applyFont="1" applyFill="1" applyBorder="1" applyAlignment="1">
      <alignment horizontal="center" vertical="center"/>
    </xf>
    <xf numFmtId="164" fontId="5" fillId="3" borderId="1" xfId="0" applyNumberFormat="1" applyFont="1" applyFill="1" applyBorder="1" applyAlignment="1">
      <alignment horizontal="center" vertical="center"/>
    </xf>
    <xf numFmtId="168" fontId="5" fillId="3" borderId="1" xfId="0" applyNumberFormat="1" applyFont="1" applyFill="1" applyBorder="1" applyAlignment="1">
      <alignment horizontal="center" vertical="center"/>
    </xf>
    <xf numFmtId="0" fontId="28" fillId="0" borderId="0" xfId="0" applyFont="1" applyAlignment="1">
      <alignment horizontal="left" vertical="center"/>
    </xf>
    <xf numFmtId="0" fontId="0" fillId="0" borderId="0" xfId="0" applyFont="1"/>
    <xf numFmtId="164" fontId="29" fillId="0" borderId="0" xfId="0" applyNumberFormat="1" applyFont="1" applyAlignment="1">
      <alignment horizontal="center" vertical="center"/>
    </xf>
    <xf numFmtId="168" fontId="24" fillId="0" borderId="0" xfId="0" applyNumberFormat="1" applyFont="1" applyAlignment="1">
      <alignment horizontal="center" vertical="center"/>
    </xf>
    <xf numFmtId="0" fontId="1" fillId="0" borderId="0" xfId="0" applyFont="1" applyAlignment="1">
      <alignment horizontal="left" vertical="center"/>
    </xf>
    <xf numFmtId="0" fontId="30" fillId="0" borderId="0" xfId="0" applyFont="1" applyAlignment="1">
      <alignment horizontal="left" vertical="top" wrapText="1"/>
    </xf>
    <xf numFmtId="0" fontId="11" fillId="0" borderId="0" xfId="0" applyFont="1"/>
    <xf numFmtId="0" fontId="25" fillId="2" borderId="1" xfId="0" applyFont="1" applyFill="1" applyBorder="1" applyAlignment="1">
      <alignment horizontal="left" vertical="center"/>
    </xf>
    <xf numFmtId="0" fontId="25" fillId="2" borderId="1" xfId="0" applyFont="1" applyFill="1" applyBorder="1" applyAlignment="1">
      <alignment horizontal="center" vertical="center"/>
    </xf>
    <xf numFmtId="0" fontId="2" fillId="4" borderId="3" xfId="0" applyFont="1" applyFill="1" applyBorder="1" applyAlignment="1">
      <alignment horizontal="left" vertical="center"/>
    </xf>
    <xf numFmtId="169" fontId="26" fillId="6" borderId="3" xfId="0" applyNumberFormat="1" applyFont="1" applyFill="1" applyBorder="1" applyAlignment="1">
      <alignment horizontal="center" vertical="center"/>
    </xf>
    <xf numFmtId="169" fontId="2" fillId="3" borderId="3" xfId="0" applyNumberFormat="1" applyFont="1" applyFill="1" applyBorder="1" applyAlignment="1">
      <alignment horizontal="center" vertical="center"/>
    </xf>
    <xf numFmtId="0" fontId="24"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999"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06C723AF-68A9-4429-86F4-C909398CC17B}">
  <we:reference id="WA200009404" version="1.0.0.8" store="Omex" storeType="OMEX"/>
  <we:alternateReferences>
    <we:reference id="WA200009404" version="1.0.0.8" store="WA200009404" storeType="OMEX"/>
  </we:alternateReferences>
  <we:properties>
    <we:property name="claude.fileId" value="&quot;b15122e6-b710-49fa-a187-744c3d98ae67&quot;"/>
  </we:properties>
  <we:bindings/>
  <we:snapshot xmlns:r="http://schemas.openxmlformats.org/officeDocument/2006/relationships"/>
</we:webextension>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2"/>
  <sheetViews>
    <sheetView showGridLines="0" tabSelected="1" workbookViewId="0">
      <selection activeCell="B10" sqref="B10"/>
    </sheetView>
  </sheetViews>
  <sheetFormatPr defaultRowHeight="15.75" x14ac:dyDescent="0.5"/>
  <cols>
    <col min="1" max="1" width="10.73046875" style="2" customWidth="1"/>
    <col min="2" max="2" width="30.06640625" style="2" customWidth="1"/>
    <col min="3" max="3" width="20.53125" style="2" bestFit="1" customWidth="1"/>
    <col min="4" max="4" width="9.33203125" style="2" bestFit="1" customWidth="1"/>
    <col min="5" max="5" width="11.19921875" style="2" bestFit="1" customWidth="1"/>
    <col min="6" max="6" width="14.33203125" style="2" bestFit="1" customWidth="1"/>
    <col min="7" max="7" width="15" style="2" bestFit="1" customWidth="1"/>
    <col min="8" max="8" width="8.33203125" style="2" bestFit="1" customWidth="1"/>
    <col min="9" max="9" width="14.796875" style="2" bestFit="1" customWidth="1"/>
    <col min="10" max="10" width="17.9296875" style="2" bestFit="1" customWidth="1"/>
    <col min="11" max="11" width="11.86328125" style="2" customWidth="1"/>
    <col min="12" max="12" width="13.19921875" style="2" bestFit="1" customWidth="1"/>
    <col min="13" max="13" width="13.59765625" style="2" bestFit="1" customWidth="1"/>
    <col min="14" max="14" width="10.1328125" style="2" bestFit="1" customWidth="1"/>
    <col min="15" max="15" width="10.53125" style="2" bestFit="1" customWidth="1"/>
    <col min="16" max="16" width="9.265625" style="2" bestFit="1" customWidth="1"/>
    <col min="17" max="17" width="9.6640625" style="2" bestFit="1" customWidth="1"/>
    <col min="18" max="18" width="7.9296875" style="2" bestFit="1" customWidth="1"/>
    <col min="19" max="19" width="8.46484375" style="2" bestFit="1" customWidth="1"/>
    <col min="20" max="20" width="12.06640625" style="2" bestFit="1" customWidth="1"/>
    <col min="21" max="21" width="9.06640625" style="2" bestFit="1" customWidth="1"/>
    <col min="22" max="22" width="6.1328125" style="2" bestFit="1" customWidth="1"/>
    <col min="23" max="23" width="9.33203125" style="2" bestFit="1" customWidth="1"/>
    <col min="24" max="24" width="5.06640625" style="2" bestFit="1" customWidth="1"/>
    <col min="25" max="25" width="10.06640625" style="2" bestFit="1" customWidth="1"/>
    <col min="26" max="26" width="5.59765625" style="2" bestFit="1" customWidth="1"/>
    <col min="27" max="16384" width="9.06640625" style="2"/>
  </cols>
  <sheetData>
    <row r="1" spans="1:26" ht="24.75" x14ac:dyDescent="0.75">
      <c r="A1" s="43" t="s">
        <v>0</v>
      </c>
      <c r="B1" s="44"/>
      <c r="C1" s="44"/>
      <c r="D1" s="44"/>
      <c r="E1" s="44"/>
      <c r="F1" s="44"/>
      <c r="G1" s="44"/>
      <c r="H1" s="44"/>
      <c r="I1" s="44"/>
      <c r="J1" s="44"/>
      <c r="K1" s="44"/>
      <c r="L1" s="44"/>
      <c r="M1" s="44"/>
      <c r="N1" s="44"/>
      <c r="O1" s="44"/>
      <c r="P1" s="44"/>
      <c r="Q1" s="44"/>
      <c r="R1" s="44"/>
      <c r="S1" s="44"/>
      <c r="T1" s="44"/>
      <c r="U1" s="44"/>
      <c r="V1" s="44"/>
      <c r="W1" s="44"/>
      <c r="X1" s="44"/>
      <c r="Y1" s="44"/>
      <c r="Z1" s="44"/>
    </row>
    <row r="2" spans="1:26" ht="18" x14ac:dyDescent="0.55000000000000004">
      <c r="A2" s="45" t="s">
        <v>1</v>
      </c>
      <c r="B2" s="40"/>
      <c r="C2" s="40"/>
      <c r="D2" s="40"/>
      <c r="E2" s="40"/>
      <c r="F2" s="40"/>
      <c r="G2" s="40"/>
      <c r="H2" s="40"/>
      <c r="I2" s="40"/>
      <c r="J2" s="40"/>
      <c r="K2" s="40"/>
      <c r="L2" s="40"/>
      <c r="M2" s="40"/>
      <c r="N2" s="40"/>
      <c r="O2" s="40"/>
      <c r="P2" s="40"/>
      <c r="Q2" s="40"/>
      <c r="R2" s="40"/>
      <c r="S2" s="40"/>
      <c r="T2" s="40"/>
      <c r="U2" s="40"/>
      <c r="V2" s="40"/>
      <c r="W2" s="40"/>
      <c r="X2" s="40"/>
      <c r="Y2" s="40"/>
      <c r="Z2" s="40"/>
    </row>
    <row r="3" spans="1:26" ht="18" x14ac:dyDescent="0.55000000000000004">
      <c r="A3" s="46" t="s">
        <v>2</v>
      </c>
      <c r="B3" s="40"/>
      <c r="C3" s="40"/>
      <c r="D3" s="40"/>
      <c r="E3" s="40"/>
      <c r="F3" s="40"/>
      <c r="G3" s="40"/>
      <c r="H3" s="40"/>
      <c r="I3" s="40"/>
      <c r="J3" s="40"/>
      <c r="K3" s="40"/>
      <c r="L3" s="40"/>
      <c r="M3" s="40"/>
      <c r="N3" s="40"/>
      <c r="O3" s="40"/>
      <c r="P3" s="40"/>
      <c r="Q3" s="40"/>
      <c r="R3" s="40"/>
      <c r="S3" s="40"/>
      <c r="T3" s="40"/>
      <c r="U3" s="40"/>
      <c r="V3" s="40"/>
      <c r="W3" s="40"/>
      <c r="X3" s="40"/>
      <c r="Y3" s="40"/>
      <c r="Z3" s="40"/>
    </row>
    <row r="5" spans="1:26" ht="18" x14ac:dyDescent="0.5">
      <c r="A5" s="47" t="s">
        <v>3</v>
      </c>
      <c r="B5" s="47" t="s">
        <v>4</v>
      </c>
      <c r="C5" s="47" t="s">
        <v>5</v>
      </c>
      <c r="D5" s="47" t="s">
        <v>6</v>
      </c>
      <c r="E5" s="47" t="s">
        <v>7</v>
      </c>
      <c r="F5" s="47" t="s">
        <v>8</v>
      </c>
      <c r="G5" s="47" t="s">
        <v>9</v>
      </c>
      <c r="H5" s="47" t="s">
        <v>10</v>
      </c>
      <c r="I5" s="47" t="s">
        <v>11</v>
      </c>
      <c r="J5" s="47" t="s">
        <v>12</v>
      </c>
      <c r="K5" s="47" t="s">
        <v>13</v>
      </c>
      <c r="L5" s="47" t="s">
        <v>14</v>
      </c>
      <c r="M5" s="47" t="s">
        <v>15</v>
      </c>
      <c r="N5" s="47" t="s">
        <v>16</v>
      </c>
      <c r="O5" s="47" t="s">
        <v>17</v>
      </c>
      <c r="P5" s="47" t="s">
        <v>18</v>
      </c>
      <c r="Q5" s="47" t="s">
        <v>19</v>
      </c>
      <c r="R5" s="47" t="s">
        <v>20</v>
      </c>
      <c r="S5" s="47" t="s">
        <v>21</v>
      </c>
      <c r="T5" s="47" t="s">
        <v>22</v>
      </c>
      <c r="U5" s="47" t="s">
        <v>23</v>
      </c>
      <c r="V5" s="47" t="s">
        <v>24</v>
      </c>
      <c r="W5" s="47" t="s">
        <v>25</v>
      </c>
      <c r="X5" s="47" t="s">
        <v>26</v>
      </c>
      <c r="Y5" s="47" t="s">
        <v>27</v>
      </c>
      <c r="Z5" s="47" t="s">
        <v>28</v>
      </c>
    </row>
    <row r="6" spans="1:26" ht="16.899999999999999" x14ac:dyDescent="0.5">
      <c r="A6" s="48" t="s">
        <v>29</v>
      </c>
      <c r="B6" s="49" t="s">
        <v>30</v>
      </c>
      <c r="C6" s="48" t="s">
        <v>31</v>
      </c>
      <c r="D6" s="50">
        <v>244.19</v>
      </c>
      <c r="E6" s="51">
        <v>10.76</v>
      </c>
      <c r="F6" s="52">
        <f t="shared" ref="F6:F13" si="0">D6*E6</f>
        <v>2627.4843999999998</v>
      </c>
      <c r="G6" s="52">
        <v>92.45</v>
      </c>
      <c r="H6" s="52">
        <f t="shared" ref="H6:H13" si="1">F6+G6</f>
        <v>2719.9343999999996</v>
      </c>
      <c r="I6" s="52">
        <v>742.78</v>
      </c>
      <c r="J6" s="53">
        <v>0.1396</v>
      </c>
      <c r="K6" s="53">
        <v>0.50600000000000001</v>
      </c>
      <c r="L6" s="52">
        <v>155.86000000000001</v>
      </c>
      <c r="M6" s="53">
        <f t="shared" ref="M6:M13" si="2">L6/I6</f>
        <v>0.20983332884568784</v>
      </c>
      <c r="N6" s="52">
        <v>85.42</v>
      </c>
      <c r="O6" s="53">
        <f t="shared" ref="O6:O13" si="3">N6/I6</f>
        <v>0.11500040388809608</v>
      </c>
      <c r="P6" s="54">
        <v>-2.4700000000000002</v>
      </c>
      <c r="Q6" s="53">
        <f t="shared" ref="Q6:Q13" si="4">P6/I6</f>
        <v>-3.3253453243221416E-3</v>
      </c>
      <c r="R6" s="53">
        <v>0.13489999999999999</v>
      </c>
      <c r="S6" s="55">
        <f t="shared" ref="S6:S13" si="5">H6/I6</f>
        <v>3.6618304208513957</v>
      </c>
      <c r="T6" s="55">
        <f t="shared" ref="T6:T13" si="6">H6/L6</f>
        <v>17.451138200949565</v>
      </c>
      <c r="U6" s="55">
        <f t="shared" ref="U6:U13" si="7">H6/N6</f>
        <v>31.841891828611562</v>
      </c>
      <c r="V6" s="55">
        <v>29.2</v>
      </c>
      <c r="W6" s="55">
        <v>29.27</v>
      </c>
      <c r="X6" s="51">
        <v>1.39</v>
      </c>
      <c r="Y6" s="53">
        <f t="shared" ref="Y6:Y13" si="8">P6/F6</f>
        <v>-9.4006266982974297E-4</v>
      </c>
      <c r="Z6" s="51">
        <v>1.44</v>
      </c>
    </row>
    <row r="7" spans="1:26" ht="16.899999999999999" x14ac:dyDescent="0.5">
      <c r="A7" s="56" t="s">
        <v>32</v>
      </c>
      <c r="B7" s="57" t="s">
        <v>33</v>
      </c>
      <c r="C7" s="57" t="s">
        <v>34</v>
      </c>
      <c r="D7" s="58">
        <v>403.41</v>
      </c>
      <c r="E7" s="59">
        <v>7.43</v>
      </c>
      <c r="F7" s="60">
        <f t="shared" si="0"/>
        <v>2997.3362999999999</v>
      </c>
      <c r="G7" s="60">
        <v>47.2</v>
      </c>
      <c r="H7" s="60">
        <f t="shared" si="1"/>
        <v>3044.5362999999998</v>
      </c>
      <c r="I7" s="60">
        <v>318.27</v>
      </c>
      <c r="J7" s="61">
        <v>0.1716</v>
      </c>
      <c r="K7" s="61">
        <v>0.68310000000000004</v>
      </c>
      <c r="L7" s="60">
        <v>184.46</v>
      </c>
      <c r="M7" s="61">
        <f t="shared" si="2"/>
        <v>0.57957080466270783</v>
      </c>
      <c r="N7" s="60">
        <v>148.96</v>
      </c>
      <c r="O7" s="61">
        <f t="shared" si="3"/>
        <v>0.46803028874854691</v>
      </c>
      <c r="P7" s="62">
        <v>72.92</v>
      </c>
      <c r="Q7" s="61">
        <f t="shared" si="4"/>
        <v>0.22911364564677791</v>
      </c>
      <c r="R7" s="61">
        <v>0.27239999999999998</v>
      </c>
      <c r="S7" s="63">
        <f t="shared" si="5"/>
        <v>9.5658915386307228</v>
      </c>
      <c r="T7" s="63">
        <f t="shared" si="6"/>
        <v>16.505130109508833</v>
      </c>
      <c r="U7" s="63">
        <f t="shared" si="7"/>
        <v>20.43861640708915</v>
      </c>
      <c r="V7" s="63">
        <v>24.03</v>
      </c>
      <c r="W7" s="63">
        <v>21.82</v>
      </c>
      <c r="X7" s="59">
        <v>1.35</v>
      </c>
      <c r="Y7" s="61">
        <f t="shared" si="8"/>
        <v>2.4328267735589097E-2</v>
      </c>
      <c r="Z7" s="59">
        <v>1.1000000000000001</v>
      </c>
    </row>
    <row r="8" spans="1:26" ht="16.899999999999999" x14ac:dyDescent="0.5">
      <c r="A8" s="56" t="s">
        <v>35</v>
      </c>
      <c r="B8" s="57" t="s">
        <v>36</v>
      </c>
      <c r="C8" s="57" t="s">
        <v>34</v>
      </c>
      <c r="D8" s="58">
        <v>364.26</v>
      </c>
      <c r="E8" s="59">
        <v>12.2</v>
      </c>
      <c r="F8" s="60">
        <f t="shared" si="0"/>
        <v>4443.9719999999998</v>
      </c>
      <c r="G8" s="60">
        <v>-30.96</v>
      </c>
      <c r="H8" s="60">
        <f t="shared" si="1"/>
        <v>4413.0119999999997</v>
      </c>
      <c r="I8" s="60">
        <v>422.5</v>
      </c>
      <c r="J8" s="61">
        <v>0.19170000000000001</v>
      </c>
      <c r="K8" s="61">
        <v>0.60370000000000001</v>
      </c>
      <c r="L8" s="60">
        <v>161.32</v>
      </c>
      <c r="M8" s="61">
        <f t="shared" si="2"/>
        <v>0.38182248520710055</v>
      </c>
      <c r="N8" s="60">
        <v>138.13</v>
      </c>
      <c r="O8" s="61">
        <f t="shared" si="3"/>
        <v>0.32693491124260354</v>
      </c>
      <c r="P8" s="62">
        <v>64.430000000000007</v>
      </c>
      <c r="Q8" s="61">
        <f t="shared" si="4"/>
        <v>0.15249704142011836</v>
      </c>
      <c r="R8" s="61">
        <v>0.28339999999999999</v>
      </c>
      <c r="S8" s="63">
        <f t="shared" si="5"/>
        <v>10.444998816568047</v>
      </c>
      <c r="T8" s="63">
        <f t="shared" si="6"/>
        <v>27.355640962062981</v>
      </c>
      <c r="U8" s="63">
        <f t="shared" si="7"/>
        <v>31.948251646999204</v>
      </c>
      <c r="V8" s="63">
        <v>27.79</v>
      </c>
      <c r="W8" s="63">
        <v>29.14</v>
      </c>
      <c r="X8" s="59">
        <v>1.81</v>
      </c>
      <c r="Y8" s="61">
        <f t="shared" si="8"/>
        <v>1.4498291168351198E-2</v>
      </c>
      <c r="Z8" s="59">
        <v>1.24</v>
      </c>
    </row>
    <row r="9" spans="1:26" ht="16.899999999999999" x14ac:dyDescent="0.5">
      <c r="A9" s="56" t="s">
        <v>37</v>
      </c>
      <c r="B9" s="57" t="s">
        <v>38</v>
      </c>
      <c r="C9" s="57" t="s">
        <v>34</v>
      </c>
      <c r="D9" s="58">
        <v>584.59</v>
      </c>
      <c r="E9" s="59">
        <v>2.54</v>
      </c>
      <c r="F9" s="60">
        <f t="shared" si="0"/>
        <v>1484.8586</v>
      </c>
      <c r="G9" s="60">
        <v>5.59</v>
      </c>
      <c r="H9" s="60">
        <f t="shared" si="1"/>
        <v>1490.4485999999999</v>
      </c>
      <c r="I9" s="60">
        <v>214.96</v>
      </c>
      <c r="J9" s="61">
        <v>0.2077</v>
      </c>
      <c r="K9" s="61">
        <v>0.81940000000000002</v>
      </c>
      <c r="L9" s="60">
        <v>109.31</v>
      </c>
      <c r="M9" s="61">
        <f t="shared" si="2"/>
        <v>0.50851321176032749</v>
      </c>
      <c r="N9" s="60">
        <v>88.59</v>
      </c>
      <c r="O9" s="61">
        <f t="shared" si="3"/>
        <v>0.41212318570896911</v>
      </c>
      <c r="P9" s="62">
        <v>48.25</v>
      </c>
      <c r="Q9" s="61">
        <f t="shared" si="4"/>
        <v>0.22446036471901748</v>
      </c>
      <c r="R9" s="61">
        <v>0.29799999999999999</v>
      </c>
      <c r="S9" s="63">
        <f t="shared" si="5"/>
        <v>6.933609043542984</v>
      </c>
      <c r="T9" s="63">
        <f t="shared" si="6"/>
        <v>13.635061750983441</v>
      </c>
      <c r="U9" s="63">
        <f t="shared" si="7"/>
        <v>16.824117846258041</v>
      </c>
      <c r="V9" s="63">
        <v>21.27</v>
      </c>
      <c r="W9" s="63">
        <v>17.809999999999999</v>
      </c>
      <c r="X9" s="59">
        <v>0.86</v>
      </c>
      <c r="Y9" s="61">
        <f t="shared" si="8"/>
        <v>3.2494676597488809E-2</v>
      </c>
      <c r="Z9" s="59">
        <v>1.23</v>
      </c>
    </row>
    <row r="10" spans="1:26" ht="16.899999999999999" x14ac:dyDescent="0.5">
      <c r="A10" s="56" t="s">
        <v>39</v>
      </c>
      <c r="B10" s="57" t="s">
        <v>40</v>
      </c>
      <c r="C10" s="57" t="s">
        <v>34</v>
      </c>
      <c r="D10" s="58">
        <v>290.55</v>
      </c>
      <c r="E10" s="59">
        <v>14.69</v>
      </c>
      <c r="F10" s="60">
        <f t="shared" si="0"/>
        <v>4268.1795000000002</v>
      </c>
      <c r="G10" s="60">
        <v>-61.88</v>
      </c>
      <c r="H10" s="60">
        <f t="shared" si="1"/>
        <v>4206.2995000000001</v>
      </c>
      <c r="I10" s="60">
        <v>451.44</v>
      </c>
      <c r="J10" s="61">
        <v>0.1026</v>
      </c>
      <c r="K10" s="61">
        <v>0.47860000000000003</v>
      </c>
      <c r="L10" s="60">
        <v>159.97999999999999</v>
      </c>
      <c r="M10" s="61">
        <f t="shared" si="2"/>
        <v>0.35437710437710435</v>
      </c>
      <c r="N10" s="60">
        <v>147.37</v>
      </c>
      <c r="O10" s="61">
        <f t="shared" si="3"/>
        <v>0.32644426723374093</v>
      </c>
      <c r="P10" s="62">
        <v>129.16999999999999</v>
      </c>
      <c r="Q10" s="61">
        <f t="shared" si="4"/>
        <v>0.28612883218146373</v>
      </c>
      <c r="R10" s="61">
        <v>1.0432999999999999</v>
      </c>
      <c r="S10" s="63">
        <f t="shared" si="5"/>
        <v>9.3175161704766971</v>
      </c>
      <c r="T10" s="63">
        <f t="shared" si="6"/>
        <v>26.292658457307166</v>
      </c>
      <c r="U10" s="63">
        <f t="shared" si="7"/>
        <v>28.542440795277194</v>
      </c>
      <c r="V10" s="63">
        <v>35.22</v>
      </c>
      <c r="W10" s="63">
        <v>31.88</v>
      </c>
      <c r="X10" s="59">
        <v>2.84</v>
      </c>
      <c r="Y10" s="61">
        <f t="shared" si="8"/>
        <v>3.0263488215526078E-2</v>
      </c>
      <c r="Z10" s="59">
        <v>1.0900000000000001</v>
      </c>
    </row>
    <row r="11" spans="1:26" ht="16.899999999999999" x14ac:dyDescent="0.5">
      <c r="A11" s="64" t="s">
        <v>41</v>
      </c>
      <c r="B11" s="65" t="s">
        <v>42</v>
      </c>
      <c r="C11" s="65" t="s">
        <v>43</v>
      </c>
      <c r="D11" s="66">
        <v>118.88</v>
      </c>
      <c r="E11" s="67">
        <v>7.96</v>
      </c>
      <c r="F11" s="68">
        <f t="shared" si="0"/>
        <v>946.2847999999999</v>
      </c>
      <c r="G11" s="68">
        <v>64.819999999999993</v>
      </c>
      <c r="H11" s="68">
        <f t="shared" si="1"/>
        <v>1011.1047999999998</v>
      </c>
      <c r="I11" s="68">
        <v>725.31</v>
      </c>
      <c r="J11" s="69">
        <v>0.05</v>
      </c>
      <c r="K11" s="69">
        <v>0.24979999999999999</v>
      </c>
      <c r="L11" s="68">
        <v>44.84</v>
      </c>
      <c r="M11" s="69">
        <f t="shared" si="2"/>
        <v>6.1821841695275132E-2</v>
      </c>
      <c r="N11" s="68">
        <v>30.18</v>
      </c>
      <c r="O11" s="69">
        <f t="shared" si="3"/>
        <v>4.1609794432725319E-2</v>
      </c>
      <c r="P11" s="70">
        <v>12.55</v>
      </c>
      <c r="Q11" s="69">
        <f t="shared" si="4"/>
        <v>1.730294632639837E-2</v>
      </c>
      <c r="R11" s="69">
        <v>0.13830000000000001</v>
      </c>
      <c r="S11" s="71">
        <f t="shared" si="5"/>
        <v>1.394031241813845</v>
      </c>
      <c r="T11" s="71">
        <f t="shared" si="6"/>
        <v>22.549170383586077</v>
      </c>
      <c r="U11" s="71">
        <f t="shared" si="7"/>
        <v>33.502478462557981</v>
      </c>
      <c r="V11" s="71">
        <v>41.85</v>
      </c>
      <c r="W11" s="71">
        <v>39.86</v>
      </c>
      <c r="X11" s="67">
        <v>4.24</v>
      </c>
      <c r="Y11" s="69">
        <f t="shared" si="8"/>
        <v>1.3262392040958497E-2</v>
      </c>
      <c r="Z11" s="67">
        <v>0.6</v>
      </c>
    </row>
    <row r="12" spans="1:26" x14ac:dyDescent="0.5">
      <c r="A12" s="3" t="s">
        <v>44</v>
      </c>
      <c r="B12" s="4" t="s">
        <v>45</v>
      </c>
      <c r="C12" s="4" t="s">
        <v>43</v>
      </c>
      <c r="D12" s="5">
        <v>119.7</v>
      </c>
      <c r="E12" s="6">
        <v>2.2799999999999998</v>
      </c>
      <c r="F12" s="7">
        <f t="shared" si="0"/>
        <v>272.916</v>
      </c>
      <c r="G12" s="7">
        <v>-5.09</v>
      </c>
      <c r="H12" s="7">
        <f t="shared" si="1"/>
        <v>267.82600000000002</v>
      </c>
      <c r="I12" s="7">
        <v>148.41</v>
      </c>
      <c r="J12" s="8">
        <v>0.11210000000000001</v>
      </c>
      <c r="K12" s="8">
        <v>0.39810000000000001</v>
      </c>
      <c r="L12" s="7">
        <v>15.96</v>
      </c>
      <c r="M12" s="8">
        <f t="shared" si="2"/>
        <v>0.10753992318576916</v>
      </c>
      <c r="N12" s="7">
        <v>9.1300000000000008</v>
      </c>
      <c r="O12" s="8">
        <f t="shared" si="3"/>
        <v>6.1518765581834112E-2</v>
      </c>
      <c r="P12" s="9">
        <v>-7.36</v>
      </c>
      <c r="Q12" s="8">
        <f t="shared" si="4"/>
        <v>-4.9592345529277007E-2</v>
      </c>
      <c r="R12" s="8">
        <v>4.5400000000000003E-2</v>
      </c>
      <c r="S12" s="10">
        <f t="shared" si="5"/>
        <v>1.8046358062125196</v>
      </c>
      <c r="T12" s="10">
        <f t="shared" si="6"/>
        <v>16.781077694235588</v>
      </c>
      <c r="U12" s="10">
        <f t="shared" si="7"/>
        <v>29.334720700985763</v>
      </c>
      <c r="V12" s="10">
        <v>18.760000000000002</v>
      </c>
      <c r="W12" s="10">
        <v>17.829999999999998</v>
      </c>
      <c r="X12" s="6">
        <v>0.53</v>
      </c>
      <c r="Y12" s="8">
        <f t="shared" si="8"/>
        <v>-2.696800480733999E-2</v>
      </c>
      <c r="Z12" s="6">
        <v>0.46</v>
      </c>
    </row>
    <row r="13" spans="1:26" x14ac:dyDescent="0.5">
      <c r="A13" s="3" t="s">
        <v>46</v>
      </c>
      <c r="B13" s="4" t="s">
        <v>47</v>
      </c>
      <c r="C13" s="4" t="s">
        <v>43</v>
      </c>
      <c r="D13" s="5">
        <v>1607.8</v>
      </c>
      <c r="E13" s="6">
        <v>5.0700000000000002E-2</v>
      </c>
      <c r="F13" s="7">
        <f t="shared" si="0"/>
        <v>81.515460000000004</v>
      </c>
      <c r="G13" s="7">
        <v>6.71</v>
      </c>
      <c r="H13" s="7">
        <f t="shared" si="1"/>
        <v>88.225459999999998</v>
      </c>
      <c r="I13" s="7">
        <v>31.8</v>
      </c>
      <c r="J13" s="8">
        <v>0.29149999999999998</v>
      </c>
      <c r="K13" s="8">
        <v>0.49469999999999997</v>
      </c>
      <c r="L13" s="7">
        <v>3.94</v>
      </c>
      <c r="M13" s="8">
        <f t="shared" si="2"/>
        <v>0.12389937106918239</v>
      </c>
      <c r="N13" s="7">
        <v>3.05</v>
      </c>
      <c r="O13" s="8">
        <f t="shared" si="3"/>
        <v>9.5911949685534584E-2</v>
      </c>
      <c r="P13" s="9">
        <v>11.82</v>
      </c>
      <c r="Q13" s="8">
        <f t="shared" si="4"/>
        <v>0.37169811320754714</v>
      </c>
      <c r="R13" s="8">
        <v>0.1668</v>
      </c>
      <c r="S13" s="10">
        <f t="shared" si="5"/>
        <v>2.774385534591195</v>
      </c>
      <c r="T13" s="10">
        <f t="shared" si="6"/>
        <v>22.392248730964468</v>
      </c>
      <c r="U13" s="10">
        <f t="shared" si="7"/>
        <v>28.926380327868852</v>
      </c>
      <c r="V13" s="10">
        <v>42.45</v>
      </c>
      <c r="W13" s="10">
        <v>39.450000000000003</v>
      </c>
      <c r="X13" s="6">
        <v>1.24</v>
      </c>
      <c r="Y13" s="8">
        <f t="shared" si="8"/>
        <v>0.14500316872406779</v>
      </c>
      <c r="Z13" s="6">
        <v>1.35</v>
      </c>
    </row>
    <row r="15" spans="1:26" x14ac:dyDescent="0.5">
      <c r="A15" s="11"/>
      <c r="B15" s="12" t="s">
        <v>48</v>
      </c>
      <c r="C15" s="11"/>
      <c r="D15" s="13"/>
      <c r="E15" s="14"/>
      <c r="F15" s="15"/>
      <c r="G15" s="15"/>
      <c r="H15" s="15"/>
      <c r="I15" s="15">
        <f t="shared" ref="I15:Z15" si="9">MEDIAN(I7:I13)</f>
        <v>318.27</v>
      </c>
      <c r="J15" s="16">
        <f t="shared" si="9"/>
        <v>0.1716</v>
      </c>
      <c r="K15" s="16">
        <f t="shared" si="9"/>
        <v>0.49469999999999997</v>
      </c>
      <c r="L15" s="15">
        <f t="shared" si="9"/>
        <v>109.31</v>
      </c>
      <c r="M15" s="16">
        <f t="shared" si="9"/>
        <v>0.35437710437710435</v>
      </c>
      <c r="N15" s="15">
        <f t="shared" si="9"/>
        <v>88.59</v>
      </c>
      <c r="O15" s="16">
        <f t="shared" si="9"/>
        <v>0.32644426723374093</v>
      </c>
      <c r="P15" s="17">
        <f t="shared" si="9"/>
        <v>48.25</v>
      </c>
      <c r="Q15" s="16">
        <f t="shared" si="9"/>
        <v>0.22446036471901748</v>
      </c>
      <c r="R15" s="16">
        <f t="shared" si="9"/>
        <v>0.27239999999999998</v>
      </c>
      <c r="S15" s="18">
        <f t="shared" si="9"/>
        <v>6.933609043542984</v>
      </c>
      <c r="T15" s="18">
        <f t="shared" si="9"/>
        <v>22.392248730964468</v>
      </c>
      <c r="U15" s="18">
        <f t="shared" si="9"/>
        <v>28.926380327868852</v>
      </c>
      <c r="V15" s="18">
        <f t="shared" si="9"/>
        <v>27.79</v>
      </c>
      <c r="W15" s="18">
        <f t="shared" si="9"/>
        <v>29.14</v>
      </c>
      <c r="X15" s="14">
        <f t="shared" si="9"/>
        <v>1.35</v>
      </c>
      <c r="Y15" s="16">
        <f t="shared" si="9"/>
        <v>2.4328267735589097E-2</v>
      </c>
      <c r="Z15" s="14">
        <f t="shared" si="9"/>
        <v>1.1000000000000001</v>
      </c>
    </row>
    <row r="16" spans="1:26" x14ac:dyDescent="0.5">
      <c r="A16" s="19"/>
      <c r="B16" s="20" t="s">
        <v>49</v>
      </c>
      <c r="C16" s="19"/>
      <c r="D16" s="21"/>
      <c r="E16" s="22"/>
      <c r="F16" s="23"/>
      <c r="G16" s="23"/>
      <c r="H16" s="23"/>
      <c r="I16" s="23">
        <f t="shared" ref="I16:Z16" si="10">AVERAGE(I7:I13)</f>
        <v>330.38428571428574</v>
      </c>
      <c r="J16" s="24">
        <f t="shared" si="10"/>
        <v>0.16102857142857144</v>
      </c>
      <c r="K16" s="24">
        <f t="shared" si="10"/>
        <v>0.53248571428571423</v>
      </c>
      <c r="L16" s="23">
        <f t="shared" si="10"/>
        <v>97.11571428571429</v>
      </c>
      <c r="M16" s="24">
        <f t="shared" si="10"/>
        <v>0.30250639170820959</v>
      </c>
      <c r="N16" s="23">
        <f t="shared" si="10"/>
        <v>80.772857142857134</v>
      </c>
      <c r="O16" s="24">
        <f t="shared" si="10"/>
        <v>0.24751045180485062</v>
      </c>
      <c r="P16" s="25">
        <f t="shared" si="10"/>
        <v>47.397142857142853</v>
      </c>
      <c r="Q16" s="24">
        <f t="shared" si="10"/>
        <v>0.17594408542457798</v>
      </c>
      <c r="R16" s="24">
        <f t="shared" si="10"/>
        <v>0.3210857142857142</v>
      </c>
      <c r="S16" s="26">
        <f t="shared" si="10"/>
        <v>6.0335811645480009</v>
      </c>
      <c r="T16" s="26">
        <f t="shared" si="10"/>
        <v>20.787284012664081</v>
      </c>
      <c r="U16" s="26">
        <f t="shared" si="10"/>
        <v>27.073858026719456</v>
      </c>
      <c r="V16" s="26">
        <f t="shared" si="10"/>
        <v>30.195714285714285</v>
      </c>
      <c r="W16" s="26">
        <f t="shared" si="10"/>
        <v>28.25571428571428</v>
      </c>
      <c r="X16" s="22">
        <f t="shared" si="10"/>
        <v>1.8385714285714287</v>
      </c>
      <c r="Y16" s="24">
        <f t="shared" si="10"/>
        <v>3.3268897096377356E-2</v>
      </c>
      <c r="Z16" s="22">
        <f t="shared" si="10"/>
        <v>1.01</v>
      </c>
    </row>
    <row r="17" spans="1:26" x14ac:dyDescent="0.5">
      <c r="A17" s="19"/>
      <c r="B17" s="27" t="s">
        <v>50</v>
      </c>
      <c r="C17" s="19"/>
      <c r="D17" s="21"/>
      <c r="E17" s="22"/>
      <c r="F17" s="23"/>
      <c r="G17" s="23"/>
      <c r="H17" s="23"/>
      <c r="I17" s="23">
        <f t="shared" ref="I17:Z17" si="11">MEDIAN(I7:I10)</f>
        <v>370.38499999999999</v>
      </c>
      <c r="J17" s="24">
        <f t="shared" si="11"/>
        <v>0.18165000000000001</v>
      </c>
      <c r="K17" s="24">
        <f t="shared" si="11"/>
        <v>0.64339999999999997</v>
      </c>
      <c r="L17" s="23">
        <f t="shared" si="11"/>
        <v>160.64999999999998</v>
      </c>
      <c r="M17" s="24">
        <f t="shared" si="11"/>
        <v>0.44516784848371405</v>
      </c>
      <c r="N17" s="23">
        <f t="shared" si="11"/>
        <v>142.75</v>
      </c>
      <c r="O17" s="24">
        <f t="shared" si="11"/>
        <v>0.36952904847578633</v>
      </c>
      <c r="P17" s="25">
        <f t="shared" si="11"/>
        <v>68.675000000000011</v>
      </c>
      <c r="Q17" s="24">
        <f t="shared" si="11"/>
        <v>0.22678700518289768</v>
      </c>
      <c r="R17" s="24">
        <f t="shared" si="11"/>
        <v>0.29069999999999996</v>
      </c>
      <c r="S17" s="26">
        <f t="shared" si="11"/>
        <v>9.44170385455371</v>
      </c>
      <c r="T17" s="26">
        <f t="shared" si="11"/>
        <v>21.398894283407998</v>
      </c>
      <c r="U17" s="26">
        <f t="shared" si="11"/>
        <v>24.490528601183172</v>
      </c>
      <c r="V17" s="26">
        <f t="shared" si="11"/>
        <v>25.91</v>
      </c>
      <c r="W17" s="26">
        <f t="shared" si="11"/>
        <v>25.48</v>
      </c>
      <c r="X17" s="22">
        <f t="shared" si="11"/>
        <v>1.58</v>
      </c>
      <c r="Y17" s="24">
        <f t="shared" si="11"/>
        <v>2.7295877975557589E-2</v>
      </c>
      <c r="Z17" s="22">
        <f t="shared" si="11"/>
        <v>1.165</v>
      </c>
    </row>
    <row r="18" spans="1:26" x14ac:dyDescent="0.5">
      <c r="A18" s="19"/>
      <c r="B18" s="27" t="s">
        <v>51</v>
      </c>
      <c r="C18" s="19"/>
      <c r="D18" s="21"/>
      <c r="E18" s="22"/>
      <c r="F18" s="23"/>
      <c r="G18" s="23"/>
      <c r="H18" s="23"/>
      <c r="I18" s="23">
        <f t="shared" ref="I18:Z18" si="12">MEDIAN(I11:I13)</f>
        <v>148.41</v>
      </c>
      <c r="J18" s="24">
        <f t="shared" si="12"/>
        <v>0.11210000000000001</v>
      </c>
      <c r="K18" s="24">
        <f t="shared" si="12"/>
        <v>0.39810000000000001</v>
      </c>
      <c r="L18" s="23">
        <f t="shared" si="12"/>
        <v>15.96</v>
      </c>
      <c r="M18" s="24">
        <f t="shared" si="12"/>
        <v>0.10753992318576916</v>
      </c>
      <c r="N18" s="23">
        <f t="shared" si="12"/>
        <v>9.1300000000000008</v>
      </c>
      <c r="O18" s="24">
        <f t="shared" si="12"/>
        <v>6.1518765581834112E-2</v>
      </c>
      <c r="P18" s="25">
        <f t="shared" si="12"/>
        <v>11.82</v>
      </c>
      <c r="Q18" s="24">
        <f t="shared" si="12"/>
        <v>1.730294632639837E-2</v>
      </c>
      <c r="R18" s="24">
        <f t="shared" si="12"/>
        <v>0.13830000000000001</v>
      </c>
      <c r="S18" s="26">
        <f t="shared" si="12"/>
        <v>1.8046358062125196</v>
      </c>
      <c r="T18" s="26">
        <f t="shared" si="12"/>
        <v>22.392248730964468</v>
      </c>
      <c r="U18" s="26">
        <f t="shared" si="12"/>
        <v>29.334720700985763</v>
      </c>
      <c r="V18" s="26">
        <f t="shared" si="12"/>
        <v>41.85</v>
      </c>
      <c r="W18" s="26">
        <f t="shared" si="12"/>
        <v>39.450000000000003</v>
      </c>
      <c r="X18" s="22">
        <f t="shared" si="12"/>
        <v>1.24</v>
      </c>
      <c r="Y18" s="24">
        <f t="shared" si="12"/>
        <v>1.3262392040958497E-2</v>
      </c>
      <c r="Z18" s="22">
        <f t="shared" si="12"/>
        <v>0.6</v>
      </c>
    </row>
    <row r="19" spans="1:26" x14ac:dyDescent="0.5">
      <c r="A19" s="28"/>
      <c r="B19" s="29" t="s">
        <v>52</v>
      </c>
      <c r="C19" s="28"/>
      <c r="D19" s="30"/>
      <c r="E19" s="31"/>
      <c r="F19" s="32"/>
      <c r="G19" s="32"/>
      <c r="H19" s="32"/>
      <c r="I19" s="32">
        <f t="shared" ref="I19:Z19" si="13">MAX(I7:I13)</f>
        <v>725.31</v>
      </c>
      <c r="J19" s="33">
        <f t="shared" si="13"/>
        <v>0.29149999999999998</v>
      </c>
      <c r="K19" s="33">
        <f t="shared" si="13"/>
        <v>0.81940000000000002</v>
      </c>
      <c r="L19" s="32">
        <f t="shared" si="13"/>
        <v>184.46</v>
      </c>
      <c r="M19" s="33">
        <f t="shared" si="13"/>
        <v>0.57957080466270783</v>
      </c>
      <c r="N19" s="32">
        <f t="shared" si="13"/>
        <v>148.96</v>
      </c>
      <c r="O19" s="33">
        <f t="shared" si="13"/>
        <v>0.46803028874854691</v>
      </c>
      <c r="P19" s="34">
        <f t="shared" si="13"/>
        <v>129.16999999999999</v>
      </c>
      <c r="Q19" s="33">
        <f t="shared" si="13"/>
        <v>0.37169811320754714</v>
      </c>
      <c r="R19" s="33">
        <f t="shared" si="13"/>
        <v>1.0432999999999999</v>
      </c>
      <c r="S19" s="35">
        <f t="shared" si="13"/>
        <v>10.444998816568047</v>
      </c>
      <c r="T19" s="35">
        <f t="shared" si="13"/>
        <v>27.355640962062981</v>
      </c>
      <c r="U19" s="35">
        <f t="shared" si="13"/>
        <v>33.502478462557981</v>
      </c>
      <c r="V19" s="35">
        <f t="shared" si="13"/>
        <v>42.45</v>
      </c>
      <c r="W19" s="35">
        <f t="shared" si="13"/>
        <v>39.86</v>
      </c>
      <c r="X19" s="31">
        <f t="shared" si="13"/>
        <v>4.24</v>
      </c>
      <c r="Y19" s="33">
        <f t="shared" si="13"/>
        <v>0.14500316872406779</v>
      </c>
      <c r="Z19" s="31">
        <f t="shared" si="13"/>
        <v>1.35</v>
      </c>
    </row>
    <row r="20" spans="1:26" x14ac:dyDescent="0.5">
      <c r="A20" s="28"/>
      <c r="B20" s="29" t="s">
        <v>53</v>
      </c>
      <c r="C20" s="28"/>
      <c r="D20" s="30"/>
      <c r="E20" s="31"/>
      <c r="F20" s="32"/>
      <c r="G20" s="32"/>
      <c r="H20" s="32"/>
      <c r="I20" s="32">
        <f t="shared" ref="I20:Z20" si="14">MIN(I7:I13)</f>
        <v>31.8</v>
      </c>
      <c r="J20" s="33">
        <f t="shared" si="14"/>
        <v>0.05</v>
      </c>
      <c r="K20" s="33">
        <f t="shared" si="14"/>
        <v>0.24979999999999999</v>
      </c>
      <c r="L20" s="32">
        <f t="shared" si="14"/>
        <v>3.94</v>
      </c>
      <c r="M20" s="33">
        <f t="shared" si="14"/>
        <v>6.1821841695275132E-2</v>
      </c>
      <c r="N20" s="32">
        <f t="shared" si="14"/>
        <v>3.05</v>
      </c>
      <c r="O20" s="33">
        <f t="shared" si="14"/>
        <v>4.1609794432725319E-2</v>
      </c>
      <c r="P20" s="34">
        <f t="shared" si="14"/>
        <v>-7.36</v>
      </c>
      <c r="Q20" s="33">
        <f t="shared" si="14"/>
        <v>-4.9592345529277007E-2</v>
      </c>
      <c r="R20" s="33">
        <f t="shared" si="14"/>
        <v>4.5400000000000003E-2</v>
      </c>
      <c r="S20" s="35">
        <f t="shared" si="14"/>
        <v>1.394031241813845</v>
      </c>
      <c r="T20" s="35">
        <f t="shared" si="14"/>
        <v>13.635061750983441</v>
      </c>
      <c r="U20" s="35">
        <f t="shared" si="14"/>
        <v>16.824117846258041</v>
      </c>
      <c r="V20" s="35">
        <f t="shared" si="14"/>
        <v>18.760000000000002</v>
      </c>
      <c r="W20" s="35">
        <f t="shared" si="14"/>
        <v>17.809999999999999</v>
      </c>
      <c r="X20" s="31">
        <f t="shared" si="14"/>
        <v>0.53</v>
      </c>
      <c r="Y20" s="33">
        <f t="shared" si="14"/>
        <v>-2.696800480733999E-2</v>
      </c>
      <c r="Z20" s="31">
        <f t="shared" si="14"/>
        <v>0.46</v>
      </c>
    </row>
    <row r="22" spans="1:26" x14ac:dyDescent="0.5">
      <c r="A22" s="36" t="s">
        <v>54</v>
      </c>
      <c r="B22" s="1"/>
      <c r="C22" s="1"/>
      <c r="D22" s="1"/>
      <c r="E22" s="1"/>
      <c r="F22" s="1"/>
      <c r="G22" s="1"/>
      <c r="H22" s="1"/>
      <c r="I22" s="1"/>
      <c r="J22" s="1"/>
      <c r="K22" s="1"/>
      <c r="L22" s="1"/>
      <c r="M22" s="1"/>
      <c r="N22" s="1"/>
      <c r="O22" s="1"/>
      <c r="P22" s="1"/>
      <c r="Q22" s="1"/>
      <c r="R22" s="1"/>
      <c r="S22" s="1"/>
      <c r="T22" s="1"/>
      <c r="U22" s="1"/>
      <c r="V22" s="1"/>
      <c r="W22" s="1"/>
      <c r="X22" s="1"/>
      <c r="Y22" s="1"/>
      <c r="Z22" s="1"/>
    </row>
  </sheetData>
  <mergeCells count="4">
    <mergeCell ref="A1:Z1"/>
    <mergeCell ref="A3:Z3"/>
    <mergeCell ref="A2:Z2"/>
    <mergeCell ref="A22:Z22"/>
  </mergeCells>
  <pageMargins left="0.3" right="0.3" top="0.4" bottom="0.4" header="0.5" footer="0.5"/>
  <pageSetup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5"/>
  <sheetViews>
    <sheetView showGridLines="0" workbookViewId="0">
      <selection activeCell="A22" sqref="A22:H23"/>
    </sheetView>
  </sheetViews>
  <sheetFormatPr defaultRowHeight="14.25" x14ac:dyDescent="0.45"/>
  <cols>
    <col min="1" max="1" width="41.1328125" bestFit="1" customWidth="1"/>
    <col min="2" max="2" width="8.1328125" bestFit="1" customWidth="1"/>
    <col min="3" max="3" width="12.3984375" bestFit="1" customWidth="1"/>
    <col min="4" max="4" width="14.73046875" bestFit="1" customWidth="1"/>
    <col min="5" max="5" width="16.3984375" bestFit="1" customWidth="1"/>
    <col min="6" max="6" width="14" bestFit="1" customWidth="1"/>
    <col min="7" max="7" width="10.265625" bestFit="1" customWidth="1"/>
    <col min="8" max="8" width="6.796875" bestFit="1" customWidth="1"/>
  </cols>
  <sheetData>
    <row r="1" spans="1:8" ht="23.25" x14ac:dyDescent="0.7">
      <c r="A1" s="41" t="s">
        <v>55</v>
      </c>
      <c r="B1" s="42"/>
      <c r="C1" s="42"/>
      <c r="D1" s="42"/>
      <c r="E1" s="42"/>
      <c r="F1" s="42"/>
      <c r="G1" s="42"/>
      <c r="H1" s="42"/>
    </row>
    <row r="2" spans="1:8" x14ac:dyDescent="0.45">
      <c r="A2" s="72" t="s">
        <v>56</v>
      </c>
      <c r="B2" s="73"/>
      <c r="C2" s="73"/>
      <c r="D2" s="73"/>
      <c r="E2" s="73"/>
      <c r="F2" s="73"/>
      <c r="G2" s="73"/>
      <c r="H2" s="73"/>
    </row>
    <row r="4" spans="1:8" ht="15.75" x14ac:dyDescent="0.5">
      <c r="A4" s="74" t="s">
        <v>57</v>
      </c>
    </row>
    <row r="5" spans="1:8" x14ac:dyDescent="0.45">
      <c r="A5" s="75" t="s">
        <v>58</v>
      </c>
      <c r="B5" s="76">
        <f>'Comparable Companies'!D6</f>
        <v>244.19</v>
      </c>
    </row>
    <row r="6" spans="1:8" x14ac:dyDescent="0.45">
      <c r="A6" s="75" t="s">
        <v>59</v>
      </c>
      <c r="B6" s="77">
        <f>'Comparable Companies'!E6</f>
        <v>10.76</v>
      </c>
    </row>
    <row r="7" spans="1:8" x14ac:dyDescent="0.45">
      <c r="A7" s="75" t="s">
        <v>60</v>
      </c>
      <c r="B7" s="78">
        <f>'Comparable Companies'!G6</f>
        <v>92.45</v>
      </c>
    </row>
    <row r="8" spans="1:8" x14ac:dyDescent="0.45">
      <c r="A8" s="75" t="s">
        <v>61</v>
      </c>
      <c r="B8" s="78">
        <f>'Comparable Companies'!L6</f>
        <v>155.86000000000001</v>
      </c>
    </row>
    <row r="9" spans="1:8" x14ac:dyDescent="0.45">
      <c r="A9" s="75" t="s">
        <v>62</v>
      </c>
      <c r="B9" s="78">
        <f>'Comparable Companies'!I6</f>
        <v>742.78</v>
      </c>
    </row>
    <row r="10" spans="1:8" x14ac:dyDescent="0.45">
      <c r="A10" s="75" t="s">
        <v>63</v>
      </c>
      <c r="B10" s="76">
        <f>'Comparable Companies'!D6/'Comparable Companies'!W6</f>
        <v>8.3426716774854803</v>
      </c>
    </row>
    <row r="13" spans="1:8" x14ac:dyDescent="0.45">
      <c r="A13" s="79" t="s">
        <v>64</v>
      </c>
      <c r="B13" s="79" t="s">
        <v>65</v>
      </c>
      <c r="C13" s="79" t="s">
        <v>66</v>
      </c>
      <c r="D13" s="79" t="s">
        <v>67</v>
      </c>
      <c r="E13" s="79" t="s">
        <v>68</v>
      </c>
      <c r="F13" s="79" t="s">
        <v>69</v>
      </c>
      <c r="G13" s="79" t="s">
        <v>70</v>
      </c>
      <c r="H13" s="79" t="s">
        <v>71</v>
      </c>
    </row>
    <row r="14" spans="1:8" x14ac:dyDescent="0.45">
      <c r="A14" s="80" t="s">
        <v>72</v>
      </c>
      <c r="B14" s="81">
        <f>'Comparable Companies'!T15</f>
        <v>22.392248730964468</v>
      </c>
      <c r="C14" s="82">
        <f>'Comparable Companies'!L6</f>
        <v>155.86000000000001</v>
      </c>
      <c r="D14" s="83">
        <f>B14*C14</f>
        <v>3490.0558872081224</v>
      </c>
      <c r="E14" s="83">
        <f>D14-'Comparable Companies'!G6</f>
        <v>3397.6058872081226</v>
      </c>
      <c r="F14" s="84">
        <f>E14/'Comparable Companies'!E6</f>
        <v>315.76262892268795</v>
      </c>
      <c r="G14" s="85">
        <f>F14/'Comparable Companies'!D6-1</f>
        <v>0.29310221107616186</v>
      </c>
      <c r="H14" s="86">
        <v>0.3</v>
      </c>
    </row>
    <row r="15" spans="1:8" x14ac:dyDescent="0.45">
      <c r="A15" s="87" t="s">
        <v>73</v>
      </c>
      <c r="B15" s="88">
        <f>'Comparable Companies'!T17</f>
        <v>21.398894283407998</v>
      </c>
      <c r="C15" s="89">
        <f>'Comparable Companies'!L6</f>
        <v>155.86000000000001</v>
      </c>
      <c r="D15" s="90">
        <f>B15*C15</f>
        <v>3335.2316630119708</v>
      </c>
      <c r="E15" s="90">
        <f>D15-'Comparable Companies'!G6</f>
        <v>3242.781663011971</v>
      </c>
      <c r="F15" s="91">
        <f>E15/'Comparable Companies'!E6</f>
        <v>301.37376050297127</v>
      </c>
      <c r="G15" s="92">
        <f>F15/'Comparable Companies'!D6-1</f>
        <v>0.23417732299836702</v>
      </c>
      <c r="H15" s="93">
        <v>0.2</v>
      </c>
    </row>
    <row r="16" spans="1:8" x14ac:dyDescent="0.45">
      <c r="A16" s="80" t="s">
        <v>74</v>
      </c>
      <c r="B16" s="81">
        <f>'Comparable Companies'!W15</f>
        <v>29.14</v>
      </c>
      <c r="C16" s="94">
        <f>B10</f>
        <v>8.3426716774854803</v>
      </c>
      <c r="D16" s="95" t="s">
        <v>75</v>
      </c>
      <c r="E16" s="95" t="s">
        <v>75</v>
      </c>
      <c r="F16" s="84">
        <f>B16*C16</f>
        <v>243.10545268192689</v>
      </c>
      <c r="G16" s="85">
        <f>F16/'Comparable Companies'!D6-1</f>
        <v>-4.4414075845575773E-3</v>
      </c>
      <c r="H16" s="86">
        <v>0.3</v>
      </c>
    </row>
    <row r="17" spans="1:8" x14ac:dyDescent="0.45">
      <c r="A17" s="87" t="s">
        <v>76</v>
      </c>
      <c r="B17" s="88">
        <f>'Comparable Companies'!W17</f>
        <v>25.48</v>
      </c>
      <c r="C17" s="96">
        <f>B10</f>
        <v>8.3426716774854803</v>
      </c>
      <c r="D17" s="97" t="s">
        <v>75</v>
      </c>
      <c r="E17" s="97" t="s">
        <v>75</v>
      </c>
      <c r="F17" s="91">
        <f>B17*C17</f>
        <v>212.57127434233004</v>
      </c>
      <c r="G17" s="92">
        <f>F17/'Comparable Companies'!D6-1</f>
        <v>-0.12948411342671673</v>
      </c>
      <c r="H17" s="93">
        <v>0.2</v>
      </c>
    </row>
    <row r="18" spans="1:8" ht="15.75" x14ac:dyDescent="0.45">
      <c r="A18" s="98" t="s">
        <v>77</v>
      </c>
      <c r="B18" s="99"/>
      <c r="C18" s="99"/>
      <c r="D18" s="99"/>
      <c r="E18" s="99"/>
      <c r="F18" s="100">
        <f>SUMPRODUCT(F14:F17,H14:H17)</f>
        <v>270.44943145044471</v>
      </c>
      <c r="G18" s="101">
        <f>F18/'Comparable Companies'!D6-1</f>
        <v>0.1075368829618113</v>
      </c>
      <c r="H18" s="99"/>
    </row>
    <row r="19" spans="1:8" x14ac:dyDescent="0.45">
      <c r="A19" s="102" t="s">
        <v>78</v>
      </c>
      <c r="B19" s="103"/>
      <c r="C19" s="103"/>
      <c r="D19" s="103"/>
      <c r="E19" s="103"/>
      <c r="F19" s="104">
        <f>AVERAGE(F14:F17)</f>
        <v>268.20327911247904</v>
      </c>
      <c r="G19" s="105">
        <f>F19/'Comparable Companies'!D6-1</f>
        <v>9.8338503265813726E-2</v>
      </c>
      <c r="H19" s="103"/>
    </row>
    <row r="21" spans="1:8" x14ac:dyDescent="0.45">
      <c r="A21" s="106" t="s">
        <v>79</v>
      </c>
    </row>
    <row r="22" spans="1:8" x14ac:dyDescent="0.45">
      <c r="A22" s="107" t="s">
        <v>80</v>
      </c>
      <c r="B22" s="39"/>
      <c r="C22" s="39"/>
      <c r="D22" s="39"/>
      <c r="E22" s="39"/>
      <c r="F22" s="39"/>
      <c r="G22" s="39"/>
      <c r="H22" s="39"/>
    </row>
    <row r="23" spans="1:8" x14ac:dyDescent="0.45">
      <c r="A23" s="39"/>
      <c r="B23" s="39"/>
      <c r="C23" s="39"/>
      <c r="D23" s="39"/>
      <c r="E23" s="39"/>
      <c r="F23" s="39"/>
      <c r="G23" s="39"/>
      <c r="H23" s="39"/>
    </row>
    <row r="24" spans="1:8" x14ac:dyDescent="0.45">
      <c r="A24" s="108"/>
      <c r="B24" s="108"/>
      <c r="C24" s="108"/>
      <c r="D24" s="108"/>
      <c r="E24" s="108"/>
      <c r="F24" s="108"/>
      <c r="G24" s="108"/>
      <c r="H24" s="108"/>
    </row>
    <row r="25" spans="1:8" ht="15.75" x14ac:dyDescent="0.5">
      <c r="A25" s="74" t="s">
        <v>81</v>
      </c>
    </row>
    <row r="26" spans="1:8" x14ac:dyDescent="0.45">
      <c r="A26" s="109" t="s">
        <v>82</v>
      </c>
      <c r="B26" s="110" t="s">
        <v>83</v>
      </c>
      <c r="C26" s="110" t="s">
        <v>84</v>
      </c>
      <c r="D26" s="110" t="s">
        <v>85</v>
      </c>
      <c r="E26" s="110" t="s">
        <v>86</v>
      </c>
      <c r="F26" s="110" t="s">
        <v>87</v>
      </c>
      <c r="G26" s="110" t="s">
        <v>88</v>
      </c>
      <c r="H26" s="110" t="s">
        <v>89</v>
      </c>
    </row>
    <row r="27" spans="1:8" x14ac:dyDescent="0.45">
      <c r="A27" s="111" t="s">
        <v>90</v>
      </c>
      <c r="B27" s="112">
        <f>(14*'Comparable Companies'!L6-'Comparable Companies'!G6)/'Comparable Companies'!E6</f>
        <v>194.19981412639407</v>
      </c>
      <c r="C27" s="112">
        <f>(16*'Comparable Companies'!L6-'Comparable Companies'!G6)/'Comparable Companies'!E6</f>
        <v>223.17007434944242</v>
      </c>
      <c r="D27" s="112">
        <f>(17.45*'Comparable Companies'!L6-'Comparable Companies'!G6)/'Comparable Companies'!E6</f>
        <v>244.17351301115244</v>
      </c>
      <c r="E27" s="112">
        <f>(20*'Comparable Companies'!L6-'Comparable Companies'!G6)/'Comparable Companies'!E6</f>
        <v>281.1105947955391</v>
      </c>
      <c r="F27" s="113">
        <f>(22.39*'Comparable Companies'!L6-'Comparable Companies'!G6)/'Comparable Companies'!E6</f>
        <v>315.73005576208186</v>
      </c>
      <c r="G27" s="112">
        <f>(24*'Comparable Companies'!L6-'Comparable Companies'!G6)/'Comparable Companies'!E6</f>
        <v>339.05111524163573</v>
      </c>
      <c r="H27" s="112">
        <f>(26*'Comparable Companies'!L6-'Comparable Companies'!G6)/'Comparable Companies'!E6</f>
        <v>368.02137546468407</v>
      </c>
    </row>
    <row r="29" spans="1:8" ht="15.75" x14ac:dyDescent="0.5">
      <c r="A29" s="74" t="s">
        <v>91</v>
      </c>
    </row>
    <row r="30" spans="1:8" x14ac:dyDescent="0.45">
      <c r="A30" s="75" t="s">
        <v>92</v>
      </c>
      <c r="B30" s="76">
        <f>F18</f>
        <v>270.44943145044471</v>
      </c>
      <c r="C30" s="103"/>
      <c r="D30" s="103"/>
      <c r="E30" s="103"/>
      <c r="F30" s="103"/>
      <c r="G30" s="103"/>
      <c r="H30" s="103"/>
    </row>
    <row r="31" spans="1:8" x14ac:dyDescent="0.45">
      <c r="A31" s="75" t="s">
        <v>93</v>
      </c>
      <c r="B31" s="76">
        <f>148</f>
        <v>148</v>
      </c>
      <c r="C31" s="103"/>
      <c r="D31" s="103"/>
      <c r="E31" s="103"/>
      <c r="F31" s="103"/>
      <c r="G31" s="103"/>
      <c r="H31" s="103"/>
    </row>
    <row r="32" spans="1:8" x14ac:dyDescent="0.45">
      <c r="A32" s="75" t="s">
        <v>94</v>
      </c>
      <c r="B32" s="76">
        <f>123</f>
        <v>123</v>
      </c>
      <c r="C32" s="103"/>
      <c r="D32" s="103"/>
      <c r="E32" s="103"/>
      <c r="F32" s="103"/>
      <c r="G32" s="103"/>
      <c r="H32" s="103"/>
    </row>
    <row r="33" spans="1:8" x14ac:dyDescent="0.45">
      <c r="A33" s="75" t="s">
        <v>95</v>
      </c>
      <c r="B33" s="76">
        <f>'Comparable Companies'!D6</f>
        <v>244.19</v>
      </c>
      <c r="C33" s="103"/>
      <c r="D33" s="103"/>
      <c r="E33" s="103"/>
      <c r="F33" s="103"/>
      <c r="G33" s="103"/>
      <c r="H33" s="103"/>
    </row>
    <row r="34" spans="1:8" x14ac:dyDescent="0.45">
      <c r="A34" s="107" t="s">
        <v>96</v>
      </c>
      <c r="B34" s="39"/>
      <c r="C34" s="39"/>
      <c r="D34" s="39"/>
      <c r="E34" s="39"/>
      <c r="F34" s="39"/>
      <c r="G34" s="39"/>
      <c r="H34" s="39"/>
    </row>
    <row r="35" spans="1:8" x14ac:dyDescent="0.45">
      <c r="A35" s="39"/>
      <c r="B35" s="39"/>
      <c r="C35" s="39"/>
      <c r="D35" s="39"/>
      <c r="E35" s="39"/>
      <c r="F35" s="39"/>
      <c r="G35" s="39"/>
      <c r="H35" s="39"/>
    </row>
  </sheetData>
  <mergeCells count="4">
    <mergeCell ref="A22:H23"/>
    <mergeCell ref="A2:H2"/>
    <mergeCell ref="A34:H35"/>
    <mergeCell ref="A1:H1"/>
  </mergeCells>
  <pageMargins left="0.3" right="0.3" top="0.4" bottom="0.4" header="0.5" footer="0.5"/>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2"/>
  <sheetViews>
    <sheetView showGridLines="0" workbookViewId="0"/>
  </sheetViews>
  <sheetFormatPr defaultRowHeight="14.25" x14ac:dyDescent="0.45"/>
  <cols>
    <col min="1" max="1" width="2" customWidth="1"/>
    <col min="2" max="2" width="117.796875" bestFit="1" customWidth="1"/>
  </cols>
  <sheetData>
    <row r="1" spans="1:2" ht="21" x14ac:dyDescent="0.65">
      <c r="A1" s="37" t="s">
        <v>97</v>
      </c>
      <c r="B1" s="38"/>
    </row>
    <row r="3" spans="1:2" ht="15.75" x14ac:dyDescent="0.5">
      <c r="B3" s="74" t="s">
        <v>98</v>
      </c>
    </row>
    <row r="4" spans="1:2" ht="57" x14ac:dyDescent="0.45">
      <c r="B4" s="114" t="s">
        <v>99</v>
      </c>
    </row>
    <row r="6" spans="1:2" ht="15.75" x14ac:dyDescent="0.5">
      <c r="B6" s="74" t="s">
        <v>100</v>
      </c>
    </row>
    <row r="7" spans="1:2" ht="85.5" x14ac:dyDescent="0.45">
      <c r="B7" s="114" t="s">
        <v>101</v>
      </c>
    </row>
    <row r="9" spans="1:2" ht="15.75" x14ac:dyDescent="0.5">
      <c r="B9" s="74" t="s">
        <v>102</v>
      </c>
    </row>
    <row r="10" spans="1:2" ht="57" x14ac:dyDescent="0.45">
      <c r="B10" s="114" t="s">
        <v>103</v>
      </c>
    </row>
    <row r="12" spans="1:2" ht="15.75" x14ac:dyDescent="0.5">
      <c r="B12" s="74" t="s">
        <v>104</v>
      </c>
    </row>
    <row r="13" spans="1:2" ht="57" x14ac:dyDescent="0.45">
      <c r="B13" s="114" t="s">
        <v>105</v>
      </c>
    </row>
    <row r="15" spans="1:2" ht="15.75" x14ac:dyDescent="0.5">
      <c r="B15" s="74" t="s">
        <v>106</v>
      </c>
    </row>
    <row r="16" spans="1:2" ht="57" x14ac:dyDescent="0.45">
      <c r="B16" s="114" t="s">
        <v>107</v>
      </c>
    </row>
    <row r="18" spans="2:2" ht="15.75" x14ac:dyDescent="0.5">
      <c r="B18" s="74" t="s">
        <v>108</v>
      </c>
    </row>
    <row r="19" spans="2:2" ht="28.5" x14ac:dyDescent="0.45">
      <c r="B19" s="114" t="s">
        <v>109</v>
      </c>
    </row>
    <row r="21" spans="2:2" ht="15.75" x14ac:dyDescent="0.5">
      <c r="B21" s="74" t="s">
        <v>110</v>
      </c>
    </row>
    <row r="22" spans="2:2" ht="28.5" x14ac:dyDescent="0.45">
      <c r="B22" s="114" t="s">
        <v>111</v>
      </c>
    </row>
  </sheetData>
  <mergeCells count="1">
    <mergeCell ref="A1:B1"/>
  </mergeCells>
  <pageMargins left="0.3" right="0.3" top="0.4" bottom="0.4" header="0.5" footer="0.5"/>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Comparable Companies</vt:lpstr>
      <vt:lpstr>Implied Valuation</vt:lpstr>
      <vt:lpstr>Notes &amp; 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Ian Y Teh</cp:lastModifiedBy>
  <dcterms:created xsi:type="dcterms:W3CDTF">2026-06-10T06:57:31Z</dcterms:created>
  <dcterms:modified xsi:type="dcterms:W3CDTF">2026-06-10T07:10:26Z</dcterms:modified>
</cp:coreProperties>
</file>